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99_利府町_配布用\01.1利府町_配布用令和バージョン(24MB)\1上水道申請様式\02_申請様式等\"/>
    </mc:Choice>
  </mc:AlternateContent>
  <bookViews>
    <workbookView xWindow="-15" yWindow="4125" windowWidth="15420" windowHeight="4155"/>
  </bookViews>
  <sheets>
    <sheet name="入力例" sheetId="13" r:id="rId1"/>
    <sheet name="水理計算書" sheetId="12" r:id="rId2"/>
    <sheet name="水理計算書 (受水槽)" sheetId="14" r:id="rId3"/>
    <sheet name="リスト" sheetId="6" r:id="rId4"/>
    <sheet name="参考（利府町）" sheetId="5" r:id="rId5"/>
    <sheet name="参考（計算式）" sheetId="11" r:id="rId6"/>
    <sheet name="参考（×）" sheetId="7" r:id="rId7"/>
  </sheets>
  <definedNames>
    <definedName name="_xlnm.Print_Area" localSheetId="1">水理計算書!$P$2:$Z$57</definedName>
    <definedName name="_xlnm.Print_Area" localSheetId="2">'水理計算書 (受水槽)'!$P$2:$Z$57</definedName>
    <definedName name="_xlnm.Print_Area" localSheetId="0">入力例!$P$2:$Z$57</definedName>
    <definedName name="管延長">リスト!$G$2:$AS$12</definedName>
    <definedName name="管延長2">リスト!$G$16:$AS$26</definedName>
    <definedName name="器具等コード" localSheetId="2">'水理計算書 (受水槽)'!$B$6:$C$43</definedName>
    <definedName name="器具等コード" localSheetId="0">入力例!$B$6:$C$43</definedName>
    <definedName name="器具等コード">水理計算書!$B$6:$C$43</definedName>
    <definedName name="口径">リスト!$A$2:$A$12</definedName>
    <definedName name="使用水量">リスト!$AU$2:$AU$8</definedName>
    <definedName name="所要水頭">リスト!$AT$2:$AT$4</definedName>
    <definedName name="同時開栓数">リスト!$B$2:$D$14</definedName>
    <definedName name="分岐">リスト!$H$2:$H$12</definedName>
    <definedName name="流速計数">リスト!$E$2:$E$8</definedName>
  </definedNames>
  <calcPr calcId="162913"/>
</workbook>
</file>

<file path=xl/calcChain.xml><?xml version="1.0" encoding="utf-8"?>
<calcChain xmlns="http://schemas.openxmlformats.org/spreadsheetml/2006/main">
  <c r="B1" i="14" l="1"/>
  <c r="T15" i="14"/>
  <c r="S13" i="14"/>
  <c r="T13" i="14"/>
  <c r="AB16" i="14"/>
  <c r="AB17" i="14"/>
  <c r="AB18" i="14"/>
  <c r="AB19" i="14"/>
  <c r="AB20" i="14"/>
  <c r="AB21" i="14"/>
  <c r="AB22" i="14"/>
  <c r="AB23" i="14"/>
  <c r="AB24" i="14"/>
  <c r="AB25" i="14"/>
  <c r="AB26" i="14"/>
  <c r="AB27" i="14"/>
  <c r="AB28" i="14"/>
  <c r="AB29" i="14"/>
  <c r="AB30" i="14"/>
  <c r="AB31" i="14"/>
  <c r="AB32" i="14"/>
  <c r="AB33" i="14"/>
  <c r="AB34" i="14"/>
  <c r="AB35" i="14"/>
  <c r="AB36" i="14"/>
  <c r="AB37" i="14"/>
  <c r="AB38" i="14"/>
  <c r="AB39" i="14"/>
  <c r="AB40" i="14"/>
  <c r="AB41" i="14"/>
  <c r="AB42" i="14"/>
  <c r="AB43" i="14"/>
  <c r="AB44" i="14"/>
  <c r="AB45" i="14"/>
  <c r="AR17" i="6"/>
  <c r="AR18" i="6" s="1"/>
  <c r="AR19" i="6" s="1"/>
  <c r="AR20" i="6" s="1"/>
  <c r="AR21" i="6" s="1"/>
  <c r="AR22" i="6" s="1"/>
  <c r="AR23" i="6" s="1"/>
  <c r="AR24" i="6" s="1"/>
  <c r="AR25" i="6" s="1"/>
  <c r="AR26" i="6" s="1"/>
  <c r="AQ17" i="6"/>
  <c r="AQ18" i="6" s="1"/>
  <c r="AQ19" i="6" s="1"/>
  <c r="AQ20" i="6" s="1"/>
  <c r="AQ21" i="6" s="1"/>
  <c r="AQ22" i="6" s="1"/>
  <c r="AQ23" i="6" s="1"/>
  <c r="AQ24" i="6" s="1"/>
  <c r="AQ25" i="6" s="1"/>
  <c r="AQ26" i="6" s="1"/>
  <c r="AP17" i="6"/>
  <c r="AP18" i="6" s="1"/>
  <c r="AP19" i="6" s="1"/>
  <c r="AP20" i="6" s="1"/>
  <c r="AP21" i="6" s="1"/>
  <c r="AP22" i="6" s="1"/>
  <c r="AP23" i="6" s="1"/>
  <c r="AP24" i="6" s="1"/>
  <c r="AP25" i="6" s="1"/>
  <c r="AP26" i="6" s="1"/>
  <c r="AO17" i="6"/>
  <c r="AN17" i="6"/>
  <c r="AN18" i="6" s="1"/>
  <c r="AN19" i="6" s="1"/>
  <c r="AN20" i="6" s="1"/>
  <c r="AN21" i="6" s="1"/>
  <c r="AN22" i="6" s="1"/>
  <c r="AN23" i="6" s="1"/>
  <c r="AN24" i="6" s="1"/>
  <c r="AN25" i="6" s="1"/>
  <c r="AN26" i="6" s="1"/>
  <c r="AM17" i="6"/>
  <c r="AL17" i="6"/>
  <c r="AL18" i="6" s="1"/>
  <c r="AL19" i="6" s="1"/>
  <c r="AL20" i="6" s="1"/>
  <c r="AL21" i="6" s="1"/>
  <c r="AL22" i="6" s="1"/>
  <c r="AL23" i="6" s="1"/>
  <c r="AL24" i="6" s="1"/>
  <c r="AL25" i="6" s="1"/>
  <c r="AL26" i="6" s="1"/>
  <c r="AK17" i="6"/>
  <c r="AJ17" i="6"/>
  <c r="AJ18" i="6" s="1"/>
  <c r="AJ19" i="6" s="1"/>
  <c r="AJ20" i="6" s="1"/>
  <c r="AJ21" i="6" s="1"/>
  <c r="AJ22" i="6" s="1"/>
  <c r="AJ23" i="6" s="1"/>
  <c r="AJ24" i="6" s="1"/>
  <c r="AJ25" i="6" s="1"/>
  <c r="AJ26" i="6" s="1"/>
  <c r="AI17" i="6"/>
  <c r="AI18" i="6" s="1"/>
  <c r="AI19" i="6" s="1"/>
  <c r="AI20" i="6" s="1"/>
  <c r="AI21" i="6" s="1"/>
  <c r="AI22" i="6" s="1"/>
  <c r="AI23" i="6" s="1"/>
  <c r="AI24" i="6" s="1"/>
  <c r="AI25" i="6" s="1"/>
  <c r="AI26" i="6" s="1"/>
  <c r="AH17" i="6"/>
  <c r="AH18" i="6" s="1"/>
  <c r="AH19" i="6" s="1"/>
  <c r="AH20" i="6" s="1"/>
  <c r="AH21" i="6" s="1"/>
  <c r="AH22" i="6" s="1"/>
  <c r="AH23" i="6" s="1"/>
  <c r="AH24" i="6" s="1"/>
  <c r="AH25" i="6" s="1"/>
  <c r="AH26" i="6" s="1"/>
  <c r="AG17" i="6"/>
  <c r="AK18" i="6"/>
  <c r="AK19" i="6" s="1"/>
  <c r="AK20" i="6" s="1"/>
  <c r="AK21" i="6" s="1"/>
  <c r="AK22" i="6" s="1"/>
  <c r="AK23" i="6" s="1"/>
  <c r="AK24" i="6" s="1"/>
  <c r="AK25" i="6" s="1"/>
  <c r="AK26" i="6" s="1"/>
  <c r="AF17" i="6"/>
  <c r="AF18" i="6" s="1"/>
  <c r="AF19" i="6" s="1"/>
  <c r="AF20" i="6" s="1"/>
  <c r="AF21" i="6" s="1"/>
  <c r="AF22" i="6" s="1"/>
  <c r="AF23" i="6" s="1"/>
  <c r="AF24" i="6" s="1"/>
  <c r="AF25" i="6" s="1"/>
  <c r="AF26" i="6" s="1"/>
  <c r="AE17" i="6"/>
  <c r="AE18" i="6" s="1"/>
  <c r="AE19" i="6" s="1"/>
  <c r="AE20" i="6" s="1"/>
  <c r="AE21" i="6" s="1"/>
  <c r="AE22" i="6" s="1"/>
  <c r="AE23" i="6" s="1"/>
  <c r="AE24" i="6" s="1"/>
  <c r="AE25" i="6" s="1"/>
  <c r="AE26" i="6" s="1"/>
  <c r="AD17" i="6"/>
  <c r="AD18" i="6" s="1"/>
  <c r="AD19" i="6" s="1"/>
  <c r="AD20" i="6" s="1"/>
  <c r="AD21" i="6" s="1"/>
  <c r="AD22" i="6" s="1"/>
  <c r="AD23" i="6" s="1"/>
  <c r="AD24" i="6" s="1"/>
  <c r="AD25" i="6" s="1"/>
  <c r="AD26" i="6" s="1"/>
  <c r="AC17" i="6"/>
  <c r="AC18" i="6" s="1"/>
  <c r="AC19" i="6" s="1"/>
  <c r="AC20" i="6" s="1"/>
  <c r="AC21" i="6" s="1"/>
  <c r="AC22" i="6" s="1"/>
  <c r="AC23" i="6" s="1"/>
  <c r="AC24" i="6" s="1"/>
  <c r="AC25" i="6" s="1"/>
  <c r="AC26" i="6" s="1"/>
  <c r="AB17" i="6"/>
  <c r="AB18" i="6" s="1"/>
  <c r="AB19" i="6" s="1"/>
  <c r="AB20" i="6" s="1"/>
  <c r="AB21" i="6" s="1"/>
  <c r="AB22" i="6" s="1"/>
  <c r="AB23" i="6" s="1"/>
  <c r="AB24" i="6" s="1"/>
  <c r="AB25" i="6" s="1"/>
  <c r="AB26" i="6" s="1"/>
  <c r="AA17" i="6"/>
  <c r="AM18" i="6"/>
  <c r="AM19" i="6" s="1"/>
  <c r="AM20" i="6" s="1"/>
  <c r="AM21" i="6" s="1"/>
  <c r="AM22" i="6" s="1"/>
  <c r="AM23" i="6" s="1"/>
  <c r="AM24" i="6" s="1"/>
  <c r="AM25" i="6" s="1"/>
  <c r="AM26" i="6" s="1"/>
  <c r="Z17" i="6"/>
  <c r="Y17" i="6"/>
  <c r="X17" i="6"/>
  <c r="X18" i="6" s="1"/>
  <c r="X19" i="6" s="1"/>
  <c r="X20" i="6" s="1"/>
  <c r="X21" i="6" s="1"/>
  <c r="X22" i="6" s="1"/>
  <c r="X23" i="6" s="1"/>
  <c r="X24" i="6" s="1"/>
  <c r="X25" i="6" s="1"/>
  <c r="X26" i="6" s="1"/>
  <c r="W17" i="6"/>
  <c r="W18" i="6" s="1"/>
  <c r="W19" i="6" s="1"/>
  <c r="W20" i="6" s="1"/>
  <c r="W21" i="6" s="1"/>
  <c r="W22" i="6" s="1"/>
  <c r="W23" i="6" s="1"/>
  <c r="W24" i="6" s="1"/>
  <c r="W25" i="6" s="1"/>
  <c r="W26" i="6" s="1"/>
  <c r="V17" i="6"/>
  <c r="V18" i="6" s="1"/>
  <c r="V19" i="6" s="1"/>
  <c r="V20" i="6" s="1"/>
  <c r="V21" i="6" s="1"/>
  <c r="V22" i="6" s="1"/>
  <c r="V23" i="6" s="1"/>
  <c r="V24" i="6" s="1"/>
  <c r="V25" i="6" s="1"/>
  <c r="V26" i="6" s="1"/>
  <c r="AS17" i="6"/>
  <c r="AS18" i="6" s="1"/>
  <c r="AS19" i="6" s="1"/>
  <c r="AS20" i="6" s="1"/>
  <c r="AS21" i="6" s="1"/>
  <c r="AS22" i="6" s="1"/>
  <c r="AS23" i="6" s="1"/>
  <c r="AS24" i="6" s="1"/>
  <c r="AS25" i="6" s="1"/>
  <c r="AS26" i="6" s="1"/>
  <c r="AA18" i="6"/>
  <c r="AA19" i="6" s="1"/>
  <c r="AA20" i="6" s="1"/>
  <c r="AA21" i="6" s="1"/>
  <c r="AA22" i="6" s="1"/>
  <c r="AA23" i="6" s="1"/>
  <c r="AA24" i="6" s="1"/>
  <c r="AA25" i="6" s="1"/>
  <c r="AA26" i="6" s="1"/>
  <c r="AG18" i="6"/>
  <c r="AG19" i="6" s="1"/>
  <c r="AG20" i="6" s="1"/>
  <c r="AG21" i="6" s="1"/>
  <c r="AG22" i="6" s="1"/>
  <c r="AG23" i="6" s="1"/>
  <c r="AG24" i="6" s="1"/>
  <c r="AG25" i="6" s="1"/>
  <c r="AG26" i="6" s="1"/>
  <c r="U17" i="6"/>
  <c r="U18" i="6" s="1"/>
  <c r="U19" i="6" s="1"/>
  <c r="U20" i="6" s="1"/>
  <c r="U21" i="6" s="1"/>
  <c r="U22" i="6" s="1"/>
  <c r="U23" i="6" s="1"/>
  <c r="U24" i="6" s="1"/>
  <c r="U25" i="6" s="1"/>
  <c r="U26" i="6" s="1"/>
  <c r="T17" i="6"/>
  <c r="T18" i="6" s="1"/>
  <c r="T19" i="6" s="1"/>
  <c r="T20" i="6" s="1"/>
  <c r="T21" i="6" s="1"/>
  <c r="T22" i="6" s="1"/>
  <c r="T23" i="6" s="1"/>
  <c r="T24" i="6" s="1"/>
  <c r="T25" i="6" s="1"/>
  <c r="T26" i="6" s="1"/>
  <c r="S17" i="6"/>
  <c r="S18" i="6" s="1"/>
  <c r="S19" i="6" s="1"/>
  <c r="S20" i="6" s="1"/>
  <c r="S21" i="6" s="1"/>
  <c r="S22" i="6" s="1"/>
  <c r="S23" i="6" s="1"/>
  <c r="S24" i="6" s="1"/>
  <c r="S25" i="6" s="1"/>
  <c r="S26" i="6" s="1"/>
  <c r="R17" i="6"/>
  <c r="R18" i="6" s="1"/>
  <c r="R19" i="6" s="1"/>
  <c r="R20" i="6" s="1"/>
  <c r="R21" i="6" s="1"/>
  <c r="R22" i="6" s="1"/>
  <c r="R23" i="6" s="1"/>
  <c r="R24" i="6" s="1"/>
  <c r="R25" i="6" s="1"/>
  <c r="R26" i="6" s="1"/>
  <c r="Q17" i="6"/>
  <c r="P17" i="6"/>
  <c r="P18" i="6"/>
  <c r="P19" i="6" s="1"/>
  <c r="P20" i="6" s="1"/>
  <c r="P21" i="6" s="1"/>
  <c r="P22" i="6" s="1"/>
  <c r="P23" i="6" s="1"/>
  <c r="P24" i="6" s="1"/>
  <c r="P25" i="6" s="1"/>
  <c r="P26" i="6" s="1"/>
  <c r="T16" i="6"/>
  <c r="S16" i="6"/>
  <c r="R16" i="6"/>
  <c r="Q16" i="6"/>
  <c r="P16" i="6"/>
  <c r="S2" i="6"/>
  <c r="R2" i="6"/>
  <c r="T2" i="6"/>
  <c r="P2" i="6"/>
  <c r="Q2" i="6"/>
  <c r="U3" i="6"/>
  <c r="AO18" i="6"/>
  <c r="AO19" i="6" s="1"/>
  <c r="AO20" i="6" s="1"/>
  <c r="AO21" i="6" s="1"/>
  <c r="AO22" i="6" s="1"/>
  <c r="AO23" i="6" s="1"/>
  <c r="AO24" i="6" s="1"/>
  <c r="AO25" i="6" s="1"/>
  <c r="AO26" i="6" s="1"/>
  <c r="Z18" i="6"/>
  <c r="Z19" i="6" s="1"/>
  <c r="Z20" i="6" s="1"/>
  <c r="Z21" i="6" s="1"/>
  <c r="Z22" i="6" s="1"/>
  <c r="Z23" i="6" s="1"/>
  <c r="Z24" i="6" s="1"/>
  <c r="Z25" i="6" s="1"/>
  <c r="Z26" i="6" s="1"/>
  <c r="Y18" i="6"/>
  <c r="Y19" i="6" s="1"/>
  <c r="Y20" i="6" s="1"/>
  <c r="Y21" i="6" s="1"/>
  <c r="Y22" i="6" s="1"/>
  <c r="Y23" i="6" s="1"/>
  <c r="Y24" i="6" s="1"/>
  <c r="Y25" i="6" s="1"/>
  <c r="Y26" i="6" s="1"/>
  <c r="Q18" i="6"/>
  <c r="Q19" i="6" s="1"/>
  <c r="Q20" i="6" s="1"/>
  <c r="Q21" i="6" s="1"/>
  <c r="Q22" i="6" s="1"/>
  <c r="Q23" i="6" s="1"/>
  <c r="Q24" i="6" s="1"/>
  <c r="Q25" i="6" s="1"/>
  <c r="Q26" i="6" s="1"/>
  <c r="AR45" i="14" l="1"/>
  <c r="AT45" i="14" s="1"/>
  <c r="AQ45" i="14"/>
  <c r="AS45" i="14" s="1"/>
  <c r="AP45" i="14"/>
  <c r="AO45" i="14"/>
  <c r="AN45" i="14"/>
  <c r="AM45" i="14"/>
  <c r="AK45" i="14"/>
  <c r="AG45" i="14"/>
  <c r="AF45" i="14"/>
  <c r="AC45" i="14"/>
  <c r="X45" i="14" s="1"/>
  <c r="V45" i="14"/>
  <c r="U45" i="14"/>
  <c r="W45" i="14" s="1"/>
  <c r="T45" i="14"/>
  <c r="S45" i="14"/>
  <c r="R45" i="14"/>
  <c r="Q45" i="14"/>
  <c r="G45" i="14"/>
  <c r="P45" i="14" s="1"/>
  <c r="AR44" i="14"/>
  <c r="AT44" i="14" s="1"/>
  <c r="AQ44" i="14"/>
  <c r="AS44" i="14" s="1"/>
  <c r="AP44" i="14"/>
  <c r="AO44" i="14"/>
  <c r="AN44" i="14"/>
  <c r="AM44" i="14"/>
  <c r="AF44" i="14" s="1"/>
  <c r="Y44" i="14" s="1"/>
  <c r="AK44" i="14"/>
  <c r="AG44" i="14"/>
  <c r="AD44" i="14"/>
  <c r="V44" i="14"/>
  <c r="U44" i="14"/>
  <c r="W44" i="14" s="1"/>
  <c r="T44" i="14"/>
  <c r="S44" i="14"/>
  <c r="R44" i="14"/>
  <c r="Q44" i="14"/>
  <c r="G44" i="14"/>
  <c r="P44" i="14" s="1"/>
  <c r="AR43" i="14"/>
  <c r="AT43" i="14" s="1"/>
  <c r="AQ43" i="14"/>
  <c r="AS43" i="14" s="1"/>
  <c r="AP43" i="14"/>
  <c r="AO43" i="14"/>
  <c r="AN43" i="14"/>
  <c r="AG43" i="14" s="1"/>
  <c r="AM43" i="14"/>
  <c r="AK43" i="14"/>
  <c r="AF43" i="14"/>
  <c r="Y43" i="14" s="1"/>
  <c r="AC43" i="14"/>
  <c r="X43" i="14" s="1"/>
  <c r="V43" i="14"/>
  <c r="U43" i="14"/>
  <c r="W43" i="14" s="1"/>
  <c r="T43" i="14"/>
  <c r="S43" i="14"/>
  <c r="R43" i="14"/>
  <c r="Q43" i="14"/>
  <c r="G43" i="14"/>
  <c r="P43" i="14" s="1"/>
  <c r="AR42" i="14"/>
  <c r="AT42" i="14" s="1"/>
  <c r="AQ42" i="14"/>
  <c r="AS42" i="14" s="1"/>
  <c r="AP42" i="14"/>
  <c r="AO42" i="14"/>
  <c r="AN42" i="14"/>
  <c r="AM42" i="14"/>
  <c r="AK42" i="14"/>
  <c r="AG42" i="14"/>
  <c r="AF42" i="14"/>
  <c r="AD42" i="14"/>
  <c r="Y42" i="14"/>
  <c r="V42" i="14"/>
  <c r="U42" i="14"/>
  <c r="W42" i="14" s="1"/>
  <c r="T42" i="14"/>
  <c r="S42" i="14"/>
  <c r="R42" i="14"/>
  <c r="Q42" i="14"/>
  <c r="G42" i="14"/>
  <c r="P42" i="14" s="1"/>
  <c r="AR41" i="14"/>
  <c r="AT41" i="14" s="1"/>
  <c r="AQ41" i="14"/>
  <c r="AS41" i="14" s="1"/>
  <c r="AP41" i="14"/>
  <c r="AO41" i="14"/>
  <c r="AN41" i="14"/>
  <c r="AG41" i="14" s="1"/>
  <c r="AM41" i="14"/>
  <c r="AF41" i="14" s="1"/>
  <c r="Y41" i="14" s="1"/>
  <c r="AK41" i="14"/>
  <c r="AC41" i="14"/>
  <c r="X41" i="14" s="1"/>
  <c r="V41" i="14"/>
  <c r="U41" i="14"/>
  <c r="W41" i="14" s="1"/>
  <c r="T41" i="14"/>
  <c r="S41" i="14"/>
  <c r="R41" i="14"/>
  <c r="Q41" i="14"/>
  <c r="G41" i="14"/>
  <c r="P41" i="14" s="1"/>
  <c r="AR40" i="14"/>
  <c r="AT40" i="14" s="1"/>
  <c r="AQ40" i="14"/>
  <c r="AS40" i="14" s="1"/>
  <c r="AP40" i="14"/>
  <c r="AO40" i="14"/>
  <c r="AN40" i="14"/>
  <c r="AG40" i="14" s="1"/>
  <c r="AM40" i="14"/>
  <c r="AK40" i="14"/>
  <c r="AF40" i="14"/>
  <c r="Y40" i="14" s="1"/>
  <c r="AD40" i="14"/>
  <c r="V40" i="14"/>
  <c r="U40" i="14"/>
  <c r="W40" i="14" s="1"/>
  <c r="T40" i="14"/>
  <c r="S40" i="14"/>
  <c r="R40" i="14"/>
  <c r="Q40" i="14"/>
  <c r="G40" i="14"/>
  <c r="P40" i="14" s="1"/>
  <c r="AR39" i="14"/>
  <c r="AT39" i="14" s="1"/>
  <c r="AQ39" i="14"/>
  <c r="AS39" i="14" s="1"/>
  <c r="AP39" i="14"/>
  <c r="AO39" i="14"/>
  <c r="AN39" i="14"/>
  <c r="AM39" i="14"/>
  <c r="AF39" i="14" s="1"/>
  <c r="Y39" i="14" s="1"/>
  <c r="AK39" i="14"/>
  <c r="AG39" i="14"/>
  <c r="AC39" i="14"/>
  <c r="X39" i="14" s="1"/>
  <c r="V39" i="14"/>
  <c r="U39" i="14"/>
  <c r="W39" i="14" s="1"/>
  <c r="T39" i="14"/>
  <c r="S39" i="14"/>
  <c r="R39" i="14"/>
  <c r="Q39" i="14"/>
  <c r="G39" i="14"/>
  <c r="P39" i="14" s="1"/>
  <c r="AR38" i="14"/>
  <c r="AT38" i="14" s="1"/>
  <c r="AQ38" i="14"/>
  <c r="AS38" i="14" s="1"/>
  <c r="AP38" i="14"/>
  <c r="AO38" i="14"/>
  <c r="AN38" i="14"/>
  <c r="AG38" i="14" s="1"/>
  <c r="AM38" i="14"/>
  <c r="AF38" i="14" s="1"/>
  <c r="Y38" i="14" s="1"/>
  <c r="AK38" i="14"/>
  <c r="AD38" i="14"/>
  <c r="V38" i="14"/>
  <c r="U38" i="14"/>
  <c r="W38" i="14" s="1"/>
  <c r="T38" i="14"/>
  <c r="S38" i="14"/>
  <c r="R38" i="14"/>
  <c r="Q38" i="14"/>
  <c r="G38" i="14"/>
  <c r="P38" i="14" s="1"/>
  <c r="AR37" i="14"/>
  <c r="AT37" i="14" s="1"/>
  <c r="AQ37" i="14"/>
  <c r="AS37" i="14" s="1"/>
  <c r="AP37" i="14"/>
  <c r="AO37" i="14"/>
  <c r="AN37" i="14"/>
  <c r="AM37" i="14"/>
  <c r="AK37" i="14"/>
  <c r="AG37" i="14"/>
  <c r="AF37" i="14"/>
  <c r="AC37" i="14"/>
  <c r="X37" i="14" s="1"/>
  <c r="V37" i="14"/>
  <c r="U37" i="14"/>
  <c r="W37" i="14" s="1"/>
  <c r="T37" i="14"/>
  <c r="S37" i="14"/>
  <c r="R37" i="14"/>
  <c r="Q37" i="14"/>
  <c r="G37" i="14"/>
  <c r="P37" i="14" s="1"/>
  <c r="AR36" i="14"/>
  <c r="AT36" i="14" s="1"/>
  <c r="AQ36" i="14"/>
  <c r="AS36" i="14" s="1"/>
  <c r="AP36" i="14"/>
  <c r="AO36" i="14"/>
  <c r="AN36" i="14"/>
  <c r="AG36" i="14" s="1"/>
  <c r="AM36" i="14"/>
  <c r="AF36" i="14" s="1"/>
  <c r="Y36" i="14" s="1"/>
  <c r="AK36" i="14"/>
  <c r="AD36" i="14"/>
  <c r="V36" i="14"/>
  <c r="U36" i="14"/>
  <c r="W36" i="14" s="1"/>
  <c r="T36" i="14"/>
  <c r="S36" i="14"/>
  <c r="R36" i="14"/>
  <c r="Q36" i="14"/>
  <c r="G36" i="14"/>
  <c r="P36" i="14" s="1"/>
  <c r="AR35" i="14"/>
  <c r="AT35" i="14" s="1"/>
  <c r="AQ35" i="14"/>
  <c r="AS35" i="14" s="1"/>
  <c r="AP35" i="14"/>
  <c r="AO35" i="14"/>
  <c r="AN35" i="14"/>
  <c r="AG35" i="14" s="1"/>
  <c r="AM35" i="14"/>
  <c r="AK35" i="14"/>
  <c r="AF35" i="14"/>
  <c r="Y35" i="14" s="1"/>
  <c r="AC35" i="14"/>
  <c r="X35" i="14" s="1"/>
  <c r="V35" i="14"/>
  <c r="U35" i="14"/>
  <c r="W35" i="14" s="1"/>
  <c r="T35" i="14"/>
  <c r="S35" i="14"/>
  <c r="R35" i="14"/>
  <c r="Q35" i="14"/>
  <c r="G35" i="14"/>
  <c r="P35" i="14" s="1"/>
  <c r="AR34" i="14"/>
  <c r="AT34" i="14" s="1"/>
  <c r="AQ34" i="14"/>
  <c r="AS34" i="14" s="1"/>
  <c r="AP34" i="14"/>
  <c r="AO34" i="14"/>
  <c r="AN34" i="14"/>
  <c r="AM34" i="14"/>
  <c r="AF34" i="14" s="1"/>
  <c r="Y34" i="14" s="1"/>
  <c r="AK34" i="14"/>
  <c r="AG34" i="14"/>
  <c r="AD34" i="14"/>
  <c r="V34" i="14"/>
  <c r="U34" i="14"/>
  <c r="W34" i="14" s="1"/>
  <c r="T34" i="14"/>
  <c r="S34" i="14"/>
  <c r="R34" i="14"/>
  <c r="Q34" i="14"/>
  <c r="G34" i="14"/>
  <c r="P34" i="14" s="1"/>
  <c r="AR33" i="14"/>
  <c r="AT33" i="14" s="1"/>
  <c r="AQ33" i="14"/>
  <c r="AS33" i="14" s="1"/>
  <c r="AP33" i="14"/>
  <c r="AO33" i="14"/>
  <c r="AN33" i="14"/>
  <c r="AG33" i="14" s="1"/>
  <c r="AM33" i="14"/>
  <c r="AK33" i="14"/>
  <c r="AF33" i="14"/>
  <c r="Y33" i="14" s="1"/>
  <c r="AD33" i="14"/>
  <c r="V33" i="14"/>
  <c r="U33" i="14"/>
  <c r="W33" i="14" s="1"/>
  <c r="T33" i="14"/>
  <c r="S33" i="14"/>
  <c r="R33" i="14"/>
  <c r="Q33" i="14"/>
  <c r="G33" i="14"/>
  <c r="P33" i="14" s="1"/>
  <c r="AR32" i="14"/>
  <c r="AT32" i="14" s="1"/>
  <c r="AQ32" i="14"/>
  <c r="AS32" i="14" s="1"/>
  <c r="AP32" i="14"/>
  <c r="AO32" i="14"/>
  <c r="AN32" i="14"/>
  <c r="AM32" i="14"/>
  <c r="AF32" i="14" s="1"/>
  <c r="Y32" i="14" s="1"/>
  <c r="AK32" i="14"/>
  <c r="AG32" i="14"/>
  <c r="AC32" i="14"/>
  <c r="X32" i="14" s="1"/>
  <c r="V32" i="14"/>
  <c r="U32" i="14"/>
  <c r="W32" i="14" s="1"/>
  <c r="T32" i="14"/>
  <c r="S32" i="14"/>
  <c r="R32" i="14"/>
  <c r="Q32" i="14"/>
  <c r="G32" i="14"/>
  <c r="P32" i="14" s="1"/>
  <c r="AR31" i="14"/>
  <c r="AT31" i="14" s="1"/>
  <c r="AQ31" i="14"/>
  <c r="AS31" i="14" s="1"/>
  <c r="AP31" i="14"/>
  <c r="AO31" i="14"/>
  <c r="AN31" i="14"/>
  <c r="AG31" i="14" s="1"/>
  <c r="AM31" i="14"/>
  <c r="AK31" i="14"/>
  <c r="AF31" i="14"/>
  <c r="Y31" i="14" s="1"/>
  <c r="AD31" i="14"/>
  <c r="V31" i="14"/>
  <c r="U31" i="14"/>
  <c r="W31" i="14" s="1"/>
  <c r="T31" i="14"/>
  <c r="S31" i="14"/>
  <c r="R31" i="14"/>
  <c r="Q31" i="14"/>
  <c r="G31" i="14"/>
  <c r="P31" i="14" s="1"/>
  <c r="AR30" i="14"/>
  <c r="AT30" i="14" s="1"/>
  <c r="AQ30" i="14"/>
  <c r="AS30" i="14" s="1"/>
  <c r="AP30" i="14"/>
  <c r="AO30" i="14"/>
  <c r="AN30" i="14"/>
  <c r="AM30" i="14"/>
  <c r="AF30" i="14" s="1"/>
  <c r="Y30" i="14" s="1"/>
  <c r="AK30" i="14"/>
  <c r="AG30" i="14"/>
  <c r="AC30" i="14"/>
  <c r="X30" i="14" s="1"/>
  <c r="V30" i="14"/>
  <c r="U30" i="14"/>
  <c r="W30" i="14" s="1"/>
  <c r="T30" i="14"/>
  <c r="S30" i="14"/>
  <c r="R30" i="14"/>
  <c r="Q30" i="14"/>
  <c r="G30" i="14"/>
  <c r="P30" i="14" s="1"/>
  <c r="AR29" i="14"/>
  <c r="AT29" i="14" s="1"/>
  <c r="AQ29" i="14"/>
  <c r="AS29" i="14" s="1"/>
  <c r="AP29" i="14"/>
  <c r="AO29" i="14"/>
  <c r="AN29" i="14"/>
  <c r="AG29" i="14" s="1"/>
  <c r="AM29" i="14"/>
  <c r="AK29" i="14"/>
  <c r="AF29" i="14"/>
  <c r="Y29" i="14" s="1"/>
  <c r="AD29" i="14"/>
  <c r="V29" i="14"/>
  <c r="U29" i="14"/>
  <c r="W29" i="14" s="1"/>
  <c r="T29" i="14"/>
  <c r="S29" i="14"/>
  <c r="R29" i="14"/>
  <c r="Q29" i="14"/>
  <c r="G29" i="14"/>
  <c r="P29" i="14" s="1"/>
  <c r="AR28" i="14"/>
  <c r="AT28" i="14" s="1"/>
  <c r="AQ28" i="14"/>
  <c r="AS28" i="14" s="1"/>
  <c r="AP28" i="14"/>
  <c r="AO28" i="14"/>
  <c r="AN28" i="14"/>
  <c r="AM28" i="14"/>
  <c r="AF28" i="14" s="1"/>
  <c r="Y28" i="14" s="1"/>
  <c r="AK28" i="14"/>
  <c r="AG28" i="14"/>
  <c r="AC28" i="14"/>
  <c r="X28" i="14" s="1"/>
  <c r="V28" i="14"/>
  <c r="U28" i="14"/>
  <c r="W28" i="14" s="1"/>
  <c r="T28" i="14"/>
  <c r="S28" i="14"/>
  <c r="R28" i="14"/>
  <c r="Q28" i="14"/>
  <c r="G28" i="14"/>
  <c r="P28" i="14" s="1"/>
  <c r="AR27" i="14"/>
  <c r="AT27" i="14" s="1"/>
  <c r="AQ27" i="14"/>
  <c r="AS27" i="14" s="1"/>
  <c r="AP27" i="14"/>
  <c r="AO27" i="14"/>
  <c r="AN27" i="14"/>
  <c r="AG27" i="14" s="1"/>
  <c r="AM27" i="14"/>
  <c r="AK27" i="14"/>
  <c r="AF27" i="14"/>
  <c r="Y27" i="14" s="1"/>
  <c r="AD27" i="14"/>
  <c r="V27" i="14"/>
  <c r="U27" i="14"/>
  <c r="W27" i="14" s="1"/>
  <c r="T27" i="14"/>
  <c r="S27" i="14"/>
  <c r="R27" i="14"/>
  <c r="Q27" i="14"/>
  <c r="G27" i="14"/>
  <c r="P27" i="14" s="1"/>
  <c r="AR26" i="14"/>
  <c r="AT26" i="14" s="1"/>
  <c r="AQ26" i="14"/>
  <c r="AS26" i="14" s="1"/>
  <c r="AP26" i="14"/>
  <c r="AO26" i="14"/>
  <c r="AN26" i="14"/>
  <c r="AM26" i="14"/>
  <c r="AF26" i="14" s="1"/>
  <c r="Y26" i="14" s="1"/>
  <c r="AK26" i="14"/>
  <c r="AG26" i="14"/>
  <c r="AC26" i="14"/>
  <c r="X26" i="14" s="1"/>
  <c r="V26" i="14"/>
  <c r="U26" i="14"/>
  <c r="W26" i="14" s="1"/>
  <c r="T26" i="14"/>
  <c r="S26" i="14"/>
  <c r="R26" i="14"/>
  <c r="Q26" i="14"/>
  <c r="G26" i="14"/>
  <c r="P26" i="14" s="1"/>
  <c r="AR25" i="14"/>
  <c r="AT25" i="14" s="1"/>
  <c r="AQ25" i="14"/>
  <c r="AS25" i="14" s="1"/>
  <c r="AP25" i="14"/>
  <c r="AO25" i="14"/>
  <c r="AN25" i="14"/>
  <c r="AG25" i="14" s="1"/>
  <c r="AM25" i="14"/>
  <c r="AK25" i="14"/>
  <c r="AF25" i="14"/>
  <c r="Y25" i="14" s="1"/>
  <c r="AD25" i="14"/>
  <c r="V25" i="14"/>
  <c r="U25" i="14"/>
  <c r="W25" i="14" s="1"/>
  <c r="T25" i="14"/>
  <c r="S25" i="14"/>
  <c r="R25" i="14"/>
  <c r="Q25" i="14"/>
  <c r="G25" i="14"/>
  <c r="P25" i="14" s="1"/>
  <c r="AR24" i="14"/>
  <c r="AT24" i="14" s="1"/>
  <c r="AQ24" i="14"/>
  <c r="AS24" i="14" s="1"/>
  <c r="AP24" i="14"/>
  <c r="AO24" i="14"/>
  <c r="AN24" i="14"/>
  <c r="AG24" i="14" s="1"/>
  <c r="AM24" i="14"/>
  <c r="AF24" i="14" s="1"/>
  <c r="Y24" i="14" s="1"/>
  <c r="AK24" i="14"/>
  <c r="AC24" i="14"/>
  <c r="X24" i="14" s="1"/>
  <c r="V24" i="14"/>
  <c r="U24" i="14"/>
  <c r="W24" i="14" s="1"/>
  <c r="T24" i="14"/>
  <c r="S24" i="14"/>
  <c r="R24" i="14"/>
  <c r="Q24" i="14"/>
  <c r="G24" i="14"/>
  <c r="P24" i="14" s="1"/>
  <c r="AR23" i="14"/>
  <c r="AT23" i="14" s="1"/>
  <c r="AQ23" i="14"/>
  <c r="AS23" i="14" s="1"/>
  <c r="AP23" i="14"/>
  <c r="AO23" i="14"/>
  <c r="AN23" i="14"/>
  <c r="AG23" i="14" s="1"/>
  <c r="AM23" i="14"/>
  <c r="AK23" i="14"/>
  <c r="AF23" i="14"/>
  <c r="Y23" i="14" s="1"/>
  <c r="AD23" i="14"/>
  <c r="V23" i="14"/>
  <c r="U23" i="14"/>
  <c r="W23" i="14" s="1"/>
  <c r="T23" i="14"/>
  <c r="S23" i="14"/>
  <c r="R23" i="14"/>
  <c r="Q23" i="14"/>
  <c r="G23" i="14"/>
  <c r="P23" i="14" s="1"/>
  <c r="AR22" i="14"/>
  <c r="AT22" i="14" s="1"/>
  <c r="AQ22" i="14"/>
  <c r="AS22" i="14" s="1"/>
  <c r="AP22" i="14"/>
  <c r="AO22" i="14"/>
  <c r="AN22" i="14"/>
  <c r="AG22" i="14" s="1"/>
  <c r="AM22" i="14"/>
  <c r="AF22" i="14" s="1"/>
  <c r="Y22" i="14" s="1"/>
  <c r="AK22" i="14"/>
  <c r="AC22" i="14"/>
  <c r="X22" i="14" s="1"/>
  <c r="V22" i="14"/>
  <c r="U22" i="14"/>
  <c r="W22" i="14" s="1"/>
  <c r="T22" i="14"/>
  <c r="S22" i="14"/>
  <c r="R22" i="14"/>
  <c r="Q22" i="14"/>
  <c r="G22" i="14"/>
  <c r="P22" i="14" s="1"/>
  <c r="AR21" i="14"/>
  <c r="AT21" i="14" s="1"/>
  <c r="AQ21" i="14"/>
  <c r="AS21" i="14" s="1"/>
  <c r="AP21" i="14"/>
  <c r="AO21" i="14"/>
  <c r="AN21" i="14"/>
  <c r="AG21" i="14" s="1"/>
  <c r="AM21" i="14"/>
  <c r="AK21" i="14"/>
  <c r="AF21" i="14"/>
  <c r="Y21" i="14" s="1"/>
  <c r="AD21" i="14"/>
  <c r="V21" i="14"/>
  <c r="U21" i="14"/>
  <c r="W21" i="14" s="1"/>
  <c r="T21" i="14"/>
  <c r="S21" i="14"/>
  <c r="R21" i="14"/>
  <c r="Q21" i="14"/>
  <c r="G21" i="14"/>
  <c r="P21" i="14" s="1"/>
  <c r="AR20" i="14"/>
  <c r="AT20" i="14" s="1"/>
  <c r="AQ20" i="14"/>
  <c r="AS20" i="14" s="1"/>
  <c r="AP20" i="14"/>
  <c r="AO20" i="14"/>
  <c r="AN20" i="14"/>
  <c r="AM20" i="14"/>
  <c r="AF20" i="14" s="1"/>
  <c r="Y20" i="14" s="1"/>
  <c r="AK20" i="14"/>
  <c r="AG20" i="14"/>
  <c r="AC20" i="14"/>
  <c r="X20" i="14" s="1"/>
  <c r="V20" i="14"/>
  <c r="U20" i="14"/>
  <c r="W20" i="14" s="1"/>
  <c r="T20" i="14"/>
  <c r="S20" i="14"/>
  <c r="R20" i="14"/>
  <c r="Q20" i="14"/>
  <c r="G20" i="14"/>
  <c r="P20" i="14" s="1"/>
  <c r="AR19" i="14"/>
  <c r="AT19" i="14" s="1"/>
  <c r="AQ19" i="14"/>
  <c r="AS19" i="14" s="1"/>
  <c r="AP19" i="14"/>
  <c r="AO19" i="14"/>
  <c r="AK19" i="14"/>
  <c r="AD19" i="14"/>
  <c r="V19" i="14"/>
  <c r="U19" i="14"/>
  <c r="W19" i="14" s="1"/>
  <c r="T19" i="14"/>
  <c r="S19" i="14"/>
  <c r="R19" i="14"/>
  <c r="Q19" i="14"/>
  <c r="G19" i="14"/>
  <c r="P19" i="14" s="1"/>
  <c r="AR18" i="14"/>
  <c r="AT18" i="14" s="1"/>
  <c r="AQ18" i="14"/>
  <c r="AS18" i="14" s="1"/>
  <c r="AP18" i="14"/>
  <c r="AO18" i="14"/>
  <c r="AK18" i="14"/>
  <c r="AC18" i="14"/>
  <c r="X18" i="14" s="1"/>
  <c r="V18" i="14"/>
  <c r="U18" i="14"/>
  <c r="W18" i="14" s="1"/>
  <c r="T18" i="14"/>
  <c r="S18" i="14"/>
  <c r="R18" i="14"/>
  <c r="Q18" i="14"/>
  <c r="G18" i="14"/>
  <c r="P18" i="14" s="1"/>
  <c r="AR17" i="14"/>
  <c r="AT17" i="14" s="1"/>
  <c r="AQ17" i="14"/>
  <c r="AS17" i="14" s="1"/>
  <c r="AP17" i="14"/>
  <c r="AO17" i="14"/>
  <c r="AK17" i="14"/>
  <c r="AD17" i="14"/>
  <c r="V17" i="14"/>
  <c r="U17" i="14"/>
  <c r="W17" i="14" s="1"/>
  <c r="T17" i="14"/>
  <c r="S17" i="14"/>
  <c r="R17" i="14"/>
  <c r="Q17" i="14"/>
  <c r="G17" i="14"/>
  <c r="P17" i="14" s="1"/>
  <c r="AR16" i="14"/>
  <c r="AT16" i="14" s="1"/>
  <c r="AQ16" i="14"/>
  <c r="AS16" i="14" s="1"/>
  <c r="AP16" i="14"/>
  <c r="AO16" i="14"/>
  <c r="AK16" i="14"/>
  <c r="AC16" i="14"/>
  <c r="X16" i="14" s="1"/>
  <c r="V16" i="14"/>
  <c r="U16" i="14"/>
  <c r="W16" i="14" s="1"/>
  <c r="T16" i="14"/>
  <c r="S16" i="14"/>
  <c r="R16" i="14"/>
  <c r="Q16" i="14"/>
  <c r="G16" i="14"/>
  <c r="P16" i="14" s="1"/>
  <c r="AR15" i="14"/>
  <c r="AT15" i="14" s="1"/>
  <c r="AQ15" i="14"/>
  <c r="AS15" i="14" s="1"/>
  <c r="AP15" i="14"/>
  <c r="AO15" i="14"/>
  <c r="AB15" i="14" s="1"/>
  <c r="AD15" i="14" s="1"/>
  <c r="AK15" i="14"/>
  <c r="V15" i="14"/>
  <c r="U15" i="14"/>
  <c r="W15" i="14" s="1"/>
  <c r="S15" i="14"/>
  <c r="R15" i="14"/>
  <c r="Q15" i="14"/>
  <c r="G15" i="14"/>
  <c r="P15" i="14" s="1"/>
  <c r="AR14" i="14"/>
  <c r="AT14" i="14" s="1"/>
  <c r="AQ14" i="14"/>
  <c r="AS14" i="14" s="1"/>
  <c r="AP14" i="14"/>
  <c r="AO14" i="14"/>
  <c r="AB14" i="14" s="1"/>
  <c r="AC14" i="14" s="1"/>
  <c r="X14" i="14" s="1"/>
  <c r="AK14" i="14"/>
  <c r="V14" i="14"/>
  <c r="U14" i="14"/>
  <c r="W14" i="14" s="1"/>
  <c r="T14" i="14"/>
  <c r="S14" i="14"/>
  <c r="R14" i="14"/>
  <c r="Q14" i="14"/>
  <c r="G14" i="14"/>
  <c r="P14" i="14" s="1"/>
  <c r="AR13" i="14"/>
  <c r="AT13" i="14" s="1"/>
  <c r="AQ13" i="14"/>
  <c r="AS13" i="14" s="1"/>
  <c r="AP13" i="14"/>
  <c r="AO13" i="14"/>
  <c r="AB13" i="14" s="1"/>
  <c r="AK13" i="14"/>
  <c r="AD13" i="14"/>
  <c r="V13" i="14"/>
  <c r="U13" i="14"/>
  <c r="W13" i="14" s="1"/>
  <c r="R13" i="14"/>
  <c r="Q13" i="14"/>
  <c r="G13" i="14"/>
  <c r="P13" i="14" s="1"/>
  <c r="AR12" i="14"/>
  <c r="AT12" i="14" s="1"/>
  <c r="AQ12" i="14"/>
  <c r="AS12" i="14" s="1"/>
  <c r="AP12" i="14"/>
  <c r="AO12" i="14"/>
  <c r="AB12" i="14" s="1"/>
  <c r="AC12" i="14" s="1"/>
  <c r="X12" i="14" s="1"/>
  <c r="AK12" i="14"/>
  <c r="V12" i="14"/>
  <c r="U12" i="14"/>
  <c r="W12" i="14" s="1"/>
  <c r="T12" i="14"/>
  <c r="S12" i="14"/>
  <c r="R12" i="14"/>
  <c r="Q12" i="14"/>
  <c r="G12" i="14"/>
  <c r="P12" i="14" s="1"/>
  <c r="AR11" i="14"/>
  <c r="AT11" i="14" s="1"/>
  <c r="AQ11" i="14"/>
  <c r="AS11" i="14" s="1"/>
  <c r="AP11" i="14"/>
  <c r="AO11" i="14"/>
  <c r="AB11" i="14" s="1"/>
  <c r="AK11" i="14"/>
  <c r="AD11" i="14"/>
  <c r="V11" i="14"/>
  <c r="U11" i="14"/>
  <c r="W11" i="14" s="1"/>
  <c r="T11" i="14"/>
  <c r="S11" i="14"/>
  <c r="R11" i="14"/>
  <c r="Q11" i="14"/>
  <c r="G11" i="14"/>
  <c r="P11" i="14" s="1"/>
  <c r="AR10" i="14"/>
  <c r="AT10" i="14" s="1"/>
  <c r="AQ10" i="14"/>
  <c r="AS10" i="14" s="1"/>
  <c r="AP10" i="14"/>
  <c r="AO10" i="14"/>
  <c r="AB10" i="14" s="1"/>
  <c r="AK10" i="14"/>
  <c r="AC10" i="14"/>
  <c r="X10" i="14" s="1"/>
  <c r="V10" i="14"/>
  <c r="U10" i="14"/>
  <c r="W10" i="14" s="1"/>
  <c r="T10" i="14"/>
  <c r="S10" i="14"/>
  <c r="R10" i="14"/>
  <c r="Q10" i="14"/>
  <c r="G10" i="14"/>
  <c r="P10" i="14" s="1"/>
  <c r="AR9" i="14"/>
  <c r="AT9" i="14" s="1"/>
  <c r="AQ9" i="14"/>
  <c r="AS9" i="14" s="1"/>
  <c r="AP9" i="14"/>
  <c r="AO9" i="14"/>
  <c r="AB9" i="14" s="1"/>
  <c r="AD9" i="14" s="1"/>
  <c r="AK9" i="14"/>
  <c r="V9" i="14"/>
  <c r="U9" i="14"/>
  <c r="W9" i="14" s="1"/>
  <c r="T9" i="14"/>
  <c r="S9" i="14"/>
  <c r="R9" i="14"/>
  <c r="Q9" i="14"/>
  <c r="G9" i="14"/>
  <c r="P9" i="14" s="1"/>
  <c r="AR8" i="14"/>
  <c r="AT8" i="14" s="1"/>
  <c r="AQ8" i="14"/>
  <c r="AS8" i="14" s="1"/>
  <c r="AP8" i="14"/>
  <c r="AO8" i="14"/>
  <c r="AB8" i="14" s="1"/>
  <c r="AC8" i="14" s="1"/>
  <c r="X8" i="14" s="1"/>
  <c r="AK8" i="14"/>
  <c r="V8" i="14"/>
  <c r="U8" i="14"/>
  <c r="T8" i="14"/>
  <c r="S8" i="14"/>
  <c r="R8" i="14"/>
  <c r="Q8" i="14"/>
  <c r="G8" i="14"/>
  <c r="P8" i="14" s="1"/>
  <c r="AR7" i="14"/>
  <c r="AT7" i="14" s="1"/>
  <c r="AQ7" i="14"/>
  <c r="AS7" i="14" s="1"/>
  <c r="AP7" i="14"/>
  <c r="AO7" i="14"/>
  <c r="AB7" i="14" s="1"/>
  <c r="AK7" i="14"/>
  <c r="V7" i="14"/>
  <c r="U7" i="14"/>
  <c r="T7" i="14"/>
  <c r="S7" i="14"/>
  <c r="R7" i="14"/>
  <c r="Q7" i="14"/>
  <c r="G7" i="14"/>
  <c r="P7" i="14" s="1"/>
  <c r="AR6" i="14"/>
  <c r="AT6" i="14" s="1"/>
  <c r="AQ6" i="14"/>
  <c r="AS6" i="14" s="1"/>
  <c r="AP6" i="14"/>
  <c r="AO6" i="14"/>
  <c r="AB6" i="14" s="1"/>
  <c r="AK6" i="14"/>
  <c r="AC6" i="14"/>
  <c r="X6" i="14" s="1"/>
  <c r="V6" i="14"/>
  <c r="U6" i="14"/>
  <c r="T6" i="14"/>
  <c r="S6" i="14"/>
  <c r="R6" i="14"/>
  <c r="Q6" i="14"/>
  <c r="G6" i="14"/>
  <c r="P6" i="14" s="1"/>
  <c r="X3" i="14"/>
  <c r="Z38" i="14" l="1"/>
  <c r="Z34" i="14"/>
  <c r="Z36" i="14"/>
  <c r="Z44" i="14"/>
  <c r="Z42" i="14"/>
  <c r="Z21" i="14"/>
  <c r="Z23" i="14"/>
  <c r="Z25" i="14"/>
  <c r="Z27" i="14"/>
  <c r="Z29" i="14"/>
  <c r="Z31" i="14"/>
  <c r="Z33" i="14"/>
  <c r="Y37" i="14"/>
  <c r="Z40" i="14"/>
  <c r="Y45" i="14"/>
  <c r="AC38" i="14"/>
  <c r="X38" i="14" s="1"/>
  <c r="AC40" i="14"/>
  <c r="X40" i="14" s="1"/>
  <c r="AC42" i="14"/>
  <c r="X42" i="14" s="1"/>
  <c r="AC44" i="14"/>
  <c r="X44" i="14" s="1"/>
  <c r="W7" i="14"/>
  <c r="AI7" i="14" s="1"/>
  <c r="W8" i="14"/>
  <c r="AI8" i="14" s="1"/>
  <c r="W6" i="14"/>
  <c r="AJ6" i="14" s="1"/>
  <c r="AC9" i="14"/>
  <c r="X9" i="14" s="1"/>
  <c r="AC11" i="14"/>
  <c r="X11" i="14" s="1"/>
  <c r="AC13" i="14"/>
  <c r="X13" i="14" s="1"/>
  <c r="AC15" i="14"/>
  <c r="X15" i="14" s="1"/>
  <c r="AC17" i="14"/>
  <c r="X17" i="14" s="1"/>
  <c r="AJ12" i="14"/>
  <c r="AI12" i="14"/>
  <c r="AJ16" i="14"/>
  <c r="AI16" i="14"/>
  <c r="AI9" i="14"/>
  <c r="AJ9" i="14"/>
  <c r="AI11" i="14"/>
  <c r="AJ11" i="14"/>
  <c r="AI13" i="14"/>
  <c r="AJ13" i="14"/>
  <c r="AI15" i="14"/>
  <c r="AJ15" i="14"/>
  <c r="AI17" i="14"/>
  <c r="AJ17" i="14"/>
  <c r="AI19" i="14"/>
  <c r="AJ19" i="14"/>
  <c r="AJ20" i="14"/>
  <c r="AI20" i="14"/>
  <c r="AL20" i="14" s="1"/>
  <c r="AE20" i="14" s="1"/>
  <c r="AA20" i="14" s="1"/>
  <c r="AJ10" i="14"/>
  <c r="AI10" i="14"/>
  <c r="AJ14" i="14"/>
  <c r="AI14" i="14"/>
  <c r="AJ18" i="14"/>
  <c r="AI18" i="14"/>
  <c r="AI21" i="14"/>
  <c r="AL21" i="14" s="1"/>
  <c r="AE21" i="14" s="1"/>
  <c r="AA21" i="14" s="1"/>
  <c r="AJ21" i="14"/>
  <c r="AD8" i="14"/>
  <c r="AD10" i="14"/>
  <c r="AD14" i="14"/>
  <c r="AD16" i="14"/>
  <c r="AD18" i="14"/>
  <c r="AC19" i="14"/>
  <c r="X19" i="14" s="1"/>
  <c r="AD20" i="14"/>
  <c r="Z20" i="14" s="1"/>
  <c r="AD6" i="14"/>
  <c r="AD12" i="14"/>
  <c r="AJ22" i="14"/>
  <c r="AI22" i="14"/>
  <c r="AL22" i="14" s="1"/>
  <c r="AE22" i="14" s="1"/>
  <c r="AA22" i="14" s="1"/>
  <c r="AI23" i="14"/>
  <c r="AL23" i="14" s="1"/>
  <c r="AE23" i="14" s="1"/>
  <c r="AA23" i="14" s="1"/>
  <c r="AJ23" i="14"/>
  <c r="AJ24" i="14"/>
  <c r="AI24" i="14"/>
  <c r="AL24" i="14" s="1"/>
  <c r="AE24" i="14" s="1"/>
  <c r="AA24" i="14" s="1"/>
  <c r="AI25" i="14"/>
  <c r="AL25" i="14" s="1"/>
  <c r="AE25" i="14" s="1"/>
  <c r="AA25" i="14" s="1"/>
  <c r="AJ25" i="14"/>
  <c r="AJ26" i="14"/>
  <c r="AI26" i="14"/>
  <c r="AL26" i="14" s="1"/>
  <c r="AE26" i="14" s="1"/>
  <c r="AA26" i="14" s="1"/>
  <c r="AI27" i="14"/>
  <c r="AL27" i="14" s="1"/>
  <c r="AE27" i="14" s="1"/>
  <c r="AA27" i="14" s="1"/>
  <c r="AJ27" i="14"/>
  <c r="AJ28" i="14"/>
  <c r="AI28" i="14"/>
  <c r="AL28" i="14" s="1"/>
  <c r="AE28" i="14" s="1"/>
  <c r="AA28" i="14" s="1"/>
  <c r="AI29" i="14"/>
  <c r="AL29" i="14" s="1"/>
  <c r="AE29" i="14" s="1"/>
  <c r="AA29" i="14" s="1"/>
  <c r="AJ29" i="14"/>
  <c r="AJ30" i="14"/>
  <c r="AI30" i="14"/>
  <c r="AL30" i="14" s="1"/>
  <c r="AE30" i="14" s="1"/>
  <c r="AA30" i="14" s="1"/>
  <c r="AI31" i="14"/>
  <c r="AL31" i="14" s="1"/>
  <c r="AE31" i="14" s="1"/>
  <c r="AA31" i="14" s="1"/>
  <c r="AJ31" i="14"/>
  <c r="AJ32" i="14"/>
  <c r="AI32" i="14"/>
  <c r="AL32" i="14" s="1"/>
  <c r="AE32" i="14" s="1"/>
  <c r="AA32" i="14" s="1"/>
  <c r="AI33" i="14"/>
  <c r="AL33" i="14" s="1"/>
  <c r="AE33" i="14" s="1"/>
  <c r="AA33" i="14" s="1"/>
  <c r="AJ33" i="14"/>
  <c r="AC21" i="14"/>
  <c r="X21" i="14" s="1"/>
  <c r="AD22" i="14"/>
  <c r="Z22" i="14" s="1"/>
  <c r="AC23" i="14"/>
  <c r="X23" i="14" s="1"/>
  <c r="AD24" i="14"/>
  <c r="Z24" i="14" s="1"/>
  <c r="AC25" i="14"/>
  <c r="X25" i="14" s="1"/>
  <c r="AD26" i="14"/>
  <c r="Z26" i="14" s="1"/>
  <c r="AC27" i="14"/>
  <c r="X27" i="14" s="1"/>
  <c r="AD28" i="14"/>
  <c r="Z28" i="14" s="1"/>
  <c r="AC29" i="14"/>
  <c r="X29" i="14" s="1"/>
  <c r="AD30" i="14"/>
  <c r="Z30" i="14" s="1"/>
  <c r="AC31" i="14"/>
  <c r="X31" i="14" s="1"/>
  <c r="AD32" i="14"/>
  <c r="Z32" i="14" s="1"/>
  <c r="AC33" i="14"/>
  <c r="X33" i="14" s="1"/>
  <c r="AJ37" i="14"/>
  <c r="AI37" i="14"/>
  <c r="AL37" i="14" s="1"/>
  <c r="AE37" i="14" s="1"/>
  <c r="AA37" i="14" s="1"/>
  <c r="AJ39" i="14"/>
  <c r="AI39" i="14"/>
  <c r="AL39" i="14" s="1"/>
  <c r="AE39" i="14" s="1"/>
  <c r="AA39" i="14" s="1"/>
  <c r="AJ41" i="14"/>
  <c r="AI41" i="14"/>
  <c r="AL41" i="14" s="1"/>
  <c r="AE41" i="14" s="1"/>
  <c r="AA41" i="14" s="1"/>
  <c r="AI44" i="14"/>
  <c r="AL44" i="14" s="1"/>
  <c r="AE44" i="14" s="1"/>
  <c r="AA44" i="14" s="1"/>
  <c r="AJ44" i="14"/>
  <c r="AJ45" i="14"/>
  <c r="AI45" i="14"/>
  <c r="AL45" i="14" s="1"/>
  <c r="AE45" i="14" s="1"/>
  <c r="AA45" i="14" s="1"/>
  <c r="AI34" i="14"/>
  <c r="AL34" i="14" s="1"/>
  <c r="AE34" i="14" s="1"/>
  <c r="AA34" i="14" s="1"/>
  <c r="AJ34" i="14"/>
  <c r="AJ35" i="14"/>
  <c r="AI35" i="14"/>
  <c r="AL35" i="14" s="1"/>
  <c r="AE35" i="14" s="1"/>
  <c r="AA35" i="14" s="1"/>
  <c r="AI36" i="14"/>
  <c r="AL36" i="14" s="1"/>
  <c r="AE36" i="14" s="1"/>
  <c r="AA36" i="14" s="1"/>
  <c r="AJ36" i="14"/>
  <c r="AI38" i="14"/>
  <c r="AL38" i="14" s="1"/>
  <c r="AE38" i="14" s="1"/>
  <c r="AA38" i="14" s="1"/>
  <c r="AJ38" i="14"/>
  <c r="AI40" i="14"/>
  <c r="AL40" i="14" s="1"/>
  <c r="AE40" i="14" s="1"/>
  <c r="AA40" i="14" s="1"/>
  <c r="AJ40" i="14"/>
  <c r="AI42" i="14"/>
  <c r="AL42" i="14" s="1"/>
  <c r="AE42" i="14" s="1"/>
  <c r="AA42" i="14" s="1"/>
  <c r="AJ42" i="14"/>
  <c r="AJ43" i="14"/>
  <c r="AI43" i="14"/>
  <c r="AL43" i="14" s="1"/>
  <c r="AE43" i="14" s="1"/>
  <c r="AA43" i="14" s="1"/>
  <c r="AC34" i="14"/>
  <c r="X34" i="14" s="1"/>
  <c r="AD35" i="14"/>
  <c r="Z35" i="14" s="1"/>
  <c r="AC36" i="14"/>
  <c r="X36" i="14" s="1"/>
  <c r="AD37" i="14"/>
  <c r="Z37" i="14" s="1"/>
  <c r="AD39" i="14"/>
  <c r="Z39" i="14" s="1"/>
  <c r="AD41" i="14"/>
  <c r="Z41" i="14" s="1"/>
  <c r="AD43" i="14"/>
  <c r="Z43" i="14" s="1"/>
  <c r="AD45" i="14"/>
  <c r="Z45" i="14" s="1"/>
  <c r="C17" i="11"/>
  <c r="AJ7" i="14" l="1"/>
  <c r="AJ8" i="14"/>
  <c r="AI6" i="14"/>
  <c r="AN17" i="14"/>
  <c r="AG17" i="14" s="1"/>
  <c r="AL17" i="14"/>
  <c r="AN13" i="14"/>
  <c r="AG13" i="14" s="1"/>
  <c r="AL13" i="14"/>
  <c r="AN9" i="14"/>
  <c r="AG9" i="14" s="1"/>
  <c r="AL9" i="14"/>
  <c r="AN16" i="14"/>
  <c r="AG16" i="14" s="1"/>
  <c r="AL16" i="14"/>
  <c r="AN12" i="14"/>
  <c r="AG12" i="14" s="1"/>
  <c r="AL12" i="14"/>
  <c r="AN6" i="14"/>
  <c r="AG6" i="14" s="1"/>
  <c r="AL6" i="14"/>
  <c r="AN18" i="14"/>
  <c r="AG18" i="14" s="1"/>
  <c r="AL18" i="14"/>
  <c r="AN14" i="14"/>
  <c r="AG14" i="14" s="1"/>
  <c r="AL14" i="14"/>
  <c r="AN10" i="14"/>
  <c r="AG10" i="14" s="1"/>
  <c r="AL10" i="14"/>
  <c r="AN8" i="14"/>
  <c r="AG8" i="14" s="1"/>
  <c r="AL8" i="14"/>
  <c r="AN19" i="14"/>
  <c r="AG19" i="14" s="1"/>
  <c r="AL19" i="14"/>
  <c r="AN15" i="14"/>
  <c r="AG15" i="14" s="1"/>
  <c r="AL15" i="14"/>
  <c r="AN11" i="14"/>
  <c r="AG11" i="14" s="1"/>
  <c r="AL11" i="14"/>
  <c r="AN7" i="14"/>
  <c r="AG7" i="14" s="1"/>
  <c r="AL7" i="14"/>
  <c r="W21" i="12"/>
  <c r="V21" i="12"/>
  <c r="T21" i="12"/>
  <c r="U21" i="12"/>
  <c r="R21" i="12"/>
  <c r="S21" i="12"/>
  <c r="AE6" i="14" l="1"/>
  <c r="AA6" i="14" s="1"/>
  <c r="AM6" i="14"/>
  <c r="AF6" i="14" s="1"/>
  <c r="Y6" i="14" s="1"/>
  <c r="Z6" i="14" s="1"/>
  <c r="AE12" i="14"/>
  <c r="AA12" i="14" s="1"/>
  <c r="AM12" i="14"/>
  <c r="AF12" i="14" s="1"/>
  <c r="Y12" i="14" s="1"/>
  <c r="Z12" i="14" s="1"/>
  <c r="AE16" i="14"/>
  <c r="AA16" i="14" s="1"/>
  <c r="AM16" i="14"/>
  <c r="AF16" i="14" s="1"/>
  <c r="Y16" i="14" s="1"/>
  <c r="Z16" i="14" s="1"/>
  <c r="AM9" i="14"/>
  <c r="AF9" i="14" s="1"/>
  <c r="Y9" i="14" s="1"/>
  <c r="Z9" i="14" s="1"/>
  <c r="AE9" i="14"/>
  <c r="AA9" i="14" s="1"/>
  <c r="AM13" i="14"/>
  <c r="AF13" i="14" s="1"/>
  <c r="Y13" i="14" s="1"/>
  <c r="Z13" i="14" s="1"/>
  <c r="AE13" i="14"/>
  <c r="AA13" i="14" s="1"/>
  <c r="AM17" i="14"/>
  <c r="AF17" i="14" s="1"/>
  <c r="Y17" i="14" s="1"/>
  <c r="Z17" i="14" s="1"/>
  <c r="AE17" i="14"/>
  <c r="AA17" i="14" s="1"/>
  <c r="AM7" i="14"/>
  <c r="AF7" i="14" s="1"/>
  <c r="Y7" i="14" s="1"/>
  <c r="AE7" i="14"/>
  <c r="AA7" i="14" s="1"/>
  <c r="AM11" i="14"/>
  <c r="AF11" i="14" s="1"/>
  <c r="Y11" i="14" s="1"/>
  <c r="Z11" i="14" s="1"/>
  <c r="AE11" i="14"/>
  <c r="AA11" i="14" s="1"/>
  <c r="AM15" i="14"/>
  <c r="AF15" i="14" s="1"/>
  <c r="Y15" i="14" s="1"/>
  <c r="Z15" i="14" s="1"/>
  <c r="AE15" i="14"/>
  <c r="AA15" i="14" s="1"/>
  <c r="AM19" i="14"/>
  <c r="AF19" i="14" s="1"/>
  <c r="Y19" i="14" s="1"/>
  <c r="Z19" i="14" s="1"/>
  <c r="AE19" i="14"/>
  <c r="AA19" i="14" s="1"/>
  <c r="AE8" i="14"/>
  <c r="AA8" i="14" s="1"/>
  <c r="AM8" i="14"/>
  <c r="AF8" i="14" s="1"/>
  <c r="Y8" i="14" s="1"/>
  <c r="Z8" i="14" s="1"/>
  <c r="AE10" i="14"/>
  <c r="AA10" i="14" s="1"/>
  <c r="AM10" i="14"/>
  <c r="AF10" i="14" s="1"/>
  <c r="Y10" i="14" s="1"/>
  <c r="Z10" i="14" s="1"/>
  <c r="AE14" i="14"/>
  <c r="AA14" i="14" s="1"/>
  <c r="AM14" i="14"/>
  <c r="AF14" i="14" s="1"/>
  <c r="Y14" i="14" s="1"/>
  <c r="Z14" i="14" s="1"/>
  <c r="AE18" i="14"/>
  <c r="AA18" i="14" s="1"/>
  <c r="AM18" i="14"/>
  <c r="AF18" i="14" s="1"/>
  <c r="Y18" i="14" s="1"/>
  <c r="Z18" i="14" s="1"/>
  <c r="D55" i="11"/>
  <c r="AL16" i="7"/>
  <c r="AK16" i="7"/>
  <c r="AJ16" i="7"/>
  <c r="AI16" i="7"/>
  <c r="AH16" i="7"/>
  <c r="AG16" i="7"/>
  <c r="AF16" i="7"/>
  <c r="AE16" i="7"/>
  <c r="AD16" i="7"/>
  <c r="AC16" i="7"/>
  <c r="AB16" i="7"/>
  <c r="AK15" i="7"/>
  <c r="AJ15" i="7"/>
  <c r="AI15" i="7"/>
  <c r="AH15" i="7"/>
  <c r="AG15" i="7"/>
  <c r="AF15" i="7"/>
  <c r="AE15" i="7"/>
  <c r="AD15" i="7"/>
  <c r="AC15" i="7"/>
  <c r="AB15" i="7"/>
  <c r="AJ14" i="7"/>
  <c r="AI14" i="7"/>
  <c r="AH14" i="7"/>
  <c r="AG14" i="7"/>
  <c r="AF14" i="7"/>
  <c r="AE14" i="7"/>
  <c r="AD14" i="7"/>
  <c r="AC14" i="7"/>
  <c r="AB14" i="7"/>
  <c r="AI13" i="7"/>
  <c r="AH13" i="7"/>
  <c r="AG13" i="7"/>
  <c r="AF13" i="7"/>
  <c r="AE13" i="7"/>
  <c r="AD13" i="7"/>
  <c r="AC13" i="7"/>
  <c r="AB13" i="7"/>
  <c r="AH12" i="7"/>
  <c r="AG12" i="7"/>
  <c r="AF12" i="7"/>
  <c r="AE12" i="7"/>
  <c r="AD12" i="7"/>
  <c r="AC12" i="7"/>
  <c r="AB12" i="7"/>
  <c r="AG11" i="7"/>
  <c r="AF11" i="7"/>
  <c r="AE11" i="7"/>
  <c r="AD11" i="7"/>
  <c r="AC11" i="7"/>
  <c r="AB11" i="7"/>
  <c r="AF10" i="7"/>
  <c r="AE10" i="7"/>
  <c r="AD10" i="7"/>
  <c r="AC10" i="7"/>
  <c r="AB10" i="7"/>
  <c r="AE9" i="7"/>
  <c r="AD9" i="7"/>
  <c r="AC9" i="7"/>
  <c r="AB9" i="7"/>
  <c r="AD8" i="7"/>
  <c r="AC8" i="7"/>
  <c r="AB8" i="7"/>
  <c r="AC7" i="7"/>
  <c r="AB7" i="7"/>
  <c r="AB6" i="7"/>
  <c r="B1" i="13" l="1"/>
  <c r="Z48" i="13"/>
  <c r="AR45" i="13"/>
  <c r="AT45" i="13" s="1"/>
  <c r="AQ45" i="13"/>
  <c r="AS45" i="13" s="1"/>
  <c r="AP45" i="13"/>
  <c r="AO45" i="13"/>
  <c r="AN45" i="13"/>
  <c r="AG45" i="13" s="1"/>
  <c r="AM45" i="13"/>
  <c r="AF45" i="13" s="1"/>
  <c r="Y45" i="13" s="1"/>
  <c r="AK45" i="13"/>
  <c r="AB45" i="13"/>
  <c r="AC45" i="13" s="1"/>
  <c r="X45" i="13" s="1"/>
  <c r="V45" i="13"/>
  <c r="U45" i="13"/>
  <c r="W45" i="13" s="1"/>
  <c r="T45" i="13"/>
  <c r="S45" i="13"/>
  <c r="R45" i="13"/>
  <c r="Q45" i="13"/>
  <c r="G45" i="13"/>
  <c r="P45" i="13" s="1"/>
  <c r="AR44" i="13"/>
  <c r="AT44" i="13" s="1"/>
  <c r="AQ44" i="13"/>
  <c r="AS44" i="13" s="1"/>
  <c r="AP44" i="13"/>
  <c r="AO44" i="13"/>
  <c r="AN44" i="13"/>
  <c r="AG44" i="13" s="1"/>
  <c r="AM44" i="13"/>
  <c r="AF44" i="13" s="1"/>
  <c r="Y44" i="13" s="1"/>
  <c r="AK44" i="13"/>
  <c r="AB44" i="13"/>
  <c r="AD44" i="13" s="1"/>
  <c r="V44" i="13"/>
  <c r="U44" i="13"/>
  <c r="W44" i="13" s="1"/>
  <c r="T44" i="13"/>
  <c r="S44" i="13"/>
  <c r="R44" i="13"/>
  <c r="Q44" i="13"/>
  <c r="G44" i="13"/>
  <c r="P44" i="13" s="1"/>
  <c r="AR43" i="13"/>
  <c r="AT43" i="13" s="1"/>
  <c r="AQ43" i="13"/>
  <c r="AS43" i="13" s="1"/>
  <c r="AP43" i="13"/>
  <c r="AO43" i="13"/>
  <c r="AN43" i="13"/>
  <c r="AG43" i="13" s="1"/>
  <c r="AM43" i="13"/>
  <c r="AF43" i="13" s="1"/>
  <c r="Y43" i="13" s="1"/>
  <c r="AK43" i="13"/>
  <c r="AB43" i="13"/>
  <c r="AC43" i="13" s="1"/>
  <c r="X43" i="13" s="1"/>
  <c r="V43" i="13"/>
  <c r="U43" i="13"/>
  <c r="W43" i="13" s="1"/>
  <c r="T43" i="13"/>
  <c r="S43" i="13"/>
  <c r="R43" i="13"/>
  <c r="Q43" i="13"/>
  <c r="G43" i="13"/>
  <c r="P43" i="13" s="1"/>
  <c r="AR42" i="13"/>
  <c r="AT42" i="13" s="1"/>
  <c r="AQ42" i="13"/>
  <c r="AS42" i="13" s="1"/>
  <c r="AP42" i="13"/>
  <c r="AO42" i="13"/>
  <c r="AN42" i="13"/>
  <c r="AG42" i="13" s="1"/>
  <c r="AM42" i="13"/>
  <c r="AF42" i="13" s="1"/>
  <c r="Y42" i="13" s="1"/>
  <c r="AK42" i="13"/>
  <c r="AB42" i="13"/>
  <c r="AD42" i="13" s="1"/>
  <c r="V42" i="13"/>
  <c r="U42" i="13"/>
  <c r="W42" i="13" s="1"/>
  <c r="T42" i="13"/>
  <c r="S42" i="13"/>
  <c r="R42" i="13"/>
  <c r="Q42" i="13"/>
  <c r="G42" i="13"/>
  <c r="P42" i="13" s="1"/>
  <c r="AR41" i="13"/>
  <c r="AT41" i="13" s="1"/>
  <c r="AQ41" i="13"/>
  <c r="AS41" i="13" s="1"/>
  <c r="AP41" i="13"/>
  <c r="AO41" i="13"/>
  <c r="AN41" i="13"/>
  <c r="AG41" i="13" s="1"/>
  <c r="AM41" i="13"/>
  <c r="AF41" i="13" s="1"/>
  <c r="Y41" i="13" s="1"/>
  <c r="AK41" i="13"/>
  <c r="AB41" i="13"/>
  <c r="AC41" i="13" s="1"/>
  <c r="X41" i="13" s="1"/>
  <c r="V41" i="13"/>
  <c r="U41" i="13"/>
  <c r="W41" i="13" s="1"/>
  <c r="T41" i="13"/>
  <c r="S41" i="13"/>
  <c r="R41" i="13"/>
  <c r="Q41" i="13"/>
  <c r="G41" i="13"/>
  <c r="P41" i="13" s="1"/>
  <c r="AR40" i="13"/>
  <c r="AT40" i="13" s="1"/>
  <c r="AQ40" i="13"/>
  <c r="AS40" i="13" s="1"/>
  <c r="AP40" i="13"/>
  <c r="AO40" i="13"/>
  <c r="AN40" i="13"/>
  <c r="AG40" i="13" s="1"/>
  <c r="AM40" i="13"/>
  <c r="AF40" i="13" s="1"/>
  <c r="Y40" i="13" s="1"/>
  <c r="AK40" i="13"/>
  <c r="AB40" i="13"/>
  <c r="AD40" i="13" s="1"/>
  <c r="V40" i="13"/>
  <c r="U40" i="13"/>
  <c r="W40" i="13" s="1"/>
  <c r="T40" i="13"/>
  <c r="S40" i="13"/>
  <c r="R40" i="13"/>
  <c r="Q40" i="13"/>
  <c r="G40" i="13"/>
  <c r="P40" i="13" s="1"/>
  <c r="AR39" i="13"/>
  <c r="AT39" i="13" s="1"/>
  <c r="AQ39" i="13"/>
  <c r="AS39" i="13" s="1"/>
  <c r="AP39" i="13"/>
  <c r="AO39" i="13"/>
  <c r="AN39" i="13"/>
  <c r="AG39" i="13" s="1"/>
  <c r="AM39" i="13"/>
  <c r="AF39" i="13" s="1"/>
  <c r="Y39" i="13" s="1"/>
  <c r="AK39" i="13"/>
  <c r="AB39" i="13"/>
  <c r="AC39" i="13" s="1"/>
  <c r="X39" i="13" s="1"/>
  <c r="V39" i="13"/>
  <c r="U39" i="13"/>
  <c r="W39" i="13" s="1"/>
  <c r="T39" i="13"/>
  <c r="S39" i="13"/>
  <c r="R39" i="13"/>
  <c r="Q39" i="13"/>
  <c r="G39" i="13"/>
  <c r="P39" i="13" s="1"/>
  <c r="AR38" i="13"/>
  <c r="AT38" i="13" s="1"/>
  <c r="AQ38" i="13"/>
  <c r="AS38" i="13" s="1"/>
  <c r="AP38" i="13"/>
  <c r="AO38" i="13"/>
  <c r="AN38" i="13"/>
  <c r="AG38" i="13" s="1"/>
  <c r="AM38" i="13"/>
  <c r="AF38" i="13" s="1"/>
  <c r="Y38" i="13" s="1"/>
  <c r="AK38" i="13"/>
  <c r="AB38" i="13"/>
  <c r="AD38" i="13" s="1"/>
  <c r="V38" i="13"/>
  <c r="U38" i="13"/>
  <c r="W38" i="13" s="1"/>
  <c r="T38" i="13"/>
  <c r="S38" i="13"/>
  <c r="R38" i="13"/>
  <c r="Q38" i="13"/>
  <c r="G38" i="13"/>
  <c r="P38" i="13" s="1"/>
  <c r="AR37" i="13"/>
  <c r="AT37" i="13" s="1"/>
  <c r="AQ37" i="13"/>
  <c r="AS37" i="13" s="1"/>
  <c r="AP37" i="13"/>
  <c r="AO37" i="13"/>
  <c r="AN37" i="13"/>
  <c r="AG37" i="13" s="1"/>
  <c r="AM37" i="13"/>
  <c r="AK37" i="13"/>
  <c r="AF37" i="13"/>
  <c r="Y37" i="13" s="1"/>
  <c r="AB37" i="13"/>
  <c r="AC37" i="13" s="1"/>
  <c r="X37" i="13" s="1"/>
  <c r="V37" i="13"/>
  <c r="U37" i="13"/>
  <c r="W37" i="13" s="1"/>
  <c r="T37" i="13"/>
  <c r="S37" i="13"/>
  <c r="R37" i="13"/>
  <c r="Q37" i="13"/>
  <c r="G37" i="13"/>
  <c r="P37" i="13" s="1"/>
  <c r="AR36" i="13"/>
  <c r="AT36" i="13" s="1"/>
  <c r="AQ36" i="13"/>
  <c r="AS36" i="13" s="1"/>
  <c r="AP36" i="13"/>
  <c r="AO36" i="13"/>
  <c r="AN36" i="13"/>
  <c r="AG36" i="13" s="1"/>
  <c r="AM36" i="13"/>
  <c r="AF36" i="13" s="1"/>
  <c r="Y36" i="13" s="1"/>
  <c r="AK36" i="13"/>
  <c r="AB36" i="13"/>
  <c r="AD36" i="13" s="1"/>
  <c r="V36" i="13"/>
  <c r="U36" i="13"/>
  <c r="W36" i="13" s="1"/>
  <c r="T36" i="13"/>
  <c r="S36" i="13"/>
  <c r="R36" i="13"/>
  <c r="Q36" i="13"/>
  <c r="G36" i="13"/>
  <c r="P36" i="13" s="1"/>
  <c r="AR35" i="13"/>
  <c r="AT35" i="13" s="1"/>
  <c r="AQ35" i="13"/>
  <c r="AS35" i="13" s="1"/>
  <c r="AP35" i="13"/>
  <c r="AO35" i="13"/>
  <c r="AN35" i="13"/>
  <c r="AG35" i="13" s="1"/>
  <c r="AM35" i="13"/>
  <c r="AF35" i="13" s="1"/>
  <c r="Y35" i="13" s="1"/>
  <c r="AK35" i="13"/>
  <c r="AB35" i="13"/>
  <c r="AC35" i="13" s="1"/>
  <c r="X35" i="13" s="1"/>
  <c r="V35" i="13"/>
  <c r="U35" i="13"/>
  <c r="W35" i="13" s="1"/>
  <c r="T35" i="13"/>
  <c r="S35" i="13"/>
  <c r="R35" i="13"/>
  <c r="Q35" i="13"/>
  <c r="G35" i="13"/>
  <c r="P35" i="13" s="1"/>
  <c r="AR34" i="13"/>
  <c r="AT34" i="13" s="1"/>
  <c r="AQ34" i="13"/>
  <c r="AS34" i="13" s="1"/>
  <c r="AP34" i="13"/>
  <c r="AO34" i="13"/>
  <c r="AN34" i="13"/>
  <c r="AG34" i="13" s="1"/>
  <c r="AM34" i="13"/>
  <c r="AF34" i="13" s="1"/>
  <c r="AK34" i="13"/>
  <c r="AB34" i="13"/>
  <c r="AD34" i="13" s="1"/>
  <c r="V34" i="13"/>
  <c r="U34" i="13"/>
  <c r="W34" i="13" s="1"/>
  <c r="T34" i="13"/>
  <c r="S34" i="13"/>
  <c r="R34" i="13"/>
  <c r="Q34" i="13"/>
  <c r="G34" i="13"/>
  <c r="P34" i="13" s="1"/>
  <c r="AR33" i="13"/>
  <c r="AT33" i="13" s="1"/>
  <c r="AQ33" i="13"/>
  <c r="AS33" i="13" s="1"/>
  <c r="AP33" i="13"/>
  <c r="AO33" i="13"/>
  <c r="AN33" i="13"/>
  <c r="AG33" i="13" s="1"/>
  <c r="AM33" i="13"/>
  <c r="AF33" i="13" s="1"/>
  <c r="Y33" i="13" s="1"/>
  <c r="AK33" i="13"/>
  <c r="AB33" i="13"/>
  <c r="AC33" i="13" s="1"/>
  <c r="X33" i="13" s="1"/>
  <c r="V33" i="13"/>
  <c r="U33" i="13"/>
  <c r="W33" i="13" s="1"/>
  <c r="T33" i="13"/>
  <c r="S33" i="13"/>
  <c r="R33" i="13"/>
  <c r="Q33" i="13"/>
  <c r="G33" i="13"/>
  <c r="P33" i="13" s="1"/>
  <c r="AR32" i="13"/>
  <c r="AT32" i="13" s="1"/>
  <c r="AQ32" i="13"/>
  <c r="AS32" i="13" s="1"/>
  <c r="AP32" i="13"/>
  <c r="AO32" i="13"/>
  <c r="AN32" i="13"/>
  <c r="AG32" i="13" s="1"/>
  <c r="AM32" i="13"/>
  <c r="AF32" i="13" s="1"/>
  <c r="Y32" i="13" s="1"/>
  <c r="AK32" i="13"/>
  <c r="AB32" i="13"/>
  <c r="AD32" i="13" s="1"/>
  <c r="V32" i="13"/>
  <c r="U32" i="13"/>
  <c r="W32" i="13" s="1"/>
  <c r="T32" i="13"/>
  <c r="S32" i="13"/>
  <c r="R32" i="13"/>
  <c r="Q32" i="13"/>
  <c r="G32" i="13"/>
  <c r="P32" i="13" s="1"/>
  <c r="AR31" i="13"/>
  <c r="AT31" i="13" s="1"/>
  <c r="AQ31" i="13"/>
  <c r="AS31" i="13" s="1"/>
  <c r="AP31" i="13"/>
  <c r="AO31" i="13"/>
  <c r="AN31" i="13"/>
  <c r="AG31" i="13" s="1"/>
  <c r="AM31" i="13"/>
  <c r="AF31" i="13" s="1"/>
  <c r="AK31" i="13"/>
  <c r="AB31" i="13"/>
  <c r="AC31" i="13" s="1"/>
  <c r="X31" i="13" s="1"/>
  <c r="V31" i="13"/>
  <c r="U31" i="13"/>
  <c r="W31" i="13" s="1"/>
  <c r="T31" i="13"/>
  <c r="S31" i="13"/>
  <c r="R31" i="13"/>
  <c r="Q31" i="13"/>
  <c r="G31" i="13"/>
  <c r="P31" i="13" s="1"/>
  <c r="AR30" i="13"/>
  <c r="AT30" i="13" s="1"/>
  <c r="AQ30" i="13"/>
  <c r="AS30" i="13" s="1"/>
  <c r="AP30" i="13"/>
  <c r="AO30" i="13"/>
  <c r="AN30" i="13"/>
  <c r="AG30" i="13" s="1"/>
  <c r="AM30" i="13"/>
  <c r="AK30" i="13"/>
  <c r="AF30" i="13"/>
  <c r="AB30" i="13"/>
  <c r="AD30" i="13" s="1"/>
  <c r="V30" i="13"/>
  <c r="U30" i="13"/>
  <c r="W30" i="13" s="1"/>
  <c r="T30" i="13"/>
  <c r="S30" i="13"/>
  <c r="R30" i="13"/>
  <c r="Q30" i="13"/>
  <c r="G30" i="13"/>
  <c r="P30" i="13" s="1"/>
  <c r="AR29" i="13"/>
  <c r="AT29" i="13" s="1"/>
  <c r="AQ29" i="13"/>
  <c r="AS29" i="13" s="1"/>
  <c r="AP29" i="13"/>
  <c r="AO29" i="13"/>
  <c r="AN29" i="13"/>
  <c r="AG29" i="13" s="1"/>
  <c r="AM29" i="13"/>
  <c r="AF29" i="13" s="1"/>
  <c r="AK29" i="13"/>
  <c r="AB29" i="13"/>
  <c r="AC29" i="13" s="1"/>
  <c r="X29" i="13" s="1"/>
  <c r="V29" i="13"/>
  <c r="U29" i="13"/>
  <c r="W29" i="13" s="1"/>
  <c r="T29" i="13"/>
  <c r="S29" i="13"/>
  <c r="R29" i="13"/>
  <c r="Q29" i="13"/>
  <c r="G29" i="13"/>
  <c r="P29" i="13" s="1"/>
  <c r="AR28" i="13"/>
  <c r="AT28" i="13" s="1"/>
  <c r="AQ28" i="13"/>
  <c r="AS28" i="13" s="1"/>
  <c r="AP28" i="13"/>
  <c r="AO28" i="13"/>
  <c r="AN28" i="13"/>
  <c r="AG28" i="13" s="1"/>
  <c r="AM28" i="13"/>
  <c r="AK28" i="13"/>
  <c r="AF28" i="13"/>
  <c r="AB28" i="13"/>
  <c r="AD28" i="13" s="1"/>
  <c r="V28" i="13"/>
  <c r="U28" i="13"/>
  <c r="W28" i="13" s="1"/>
  <c r="T28" i="13"/>
  <c r="S28" i="13"/>
  <c r="R28" i="13"/>
  <c r="Q28" i="13"/>
  <c r="G28" i="13"/>
  <c r="P28" i="13" s="1"/>
  <c r="AR27" i="13"/>
  <c r="AT27" i="13" s="1"/>
  <c r="AQ27" i="13"/>
  <c r="AS27" i="13" s="1"/>
  <c r="AP27" i="13"/>
  <c r="AO27" i="13"/>
  <c r="AN27" i="13"/>
  <c r="AG27" i="13" s="1"/>
  <c r="AM27" i="13"/>
  <c r="AF27" i="13" s="1"/>
  <c r="Y27" i="13" s="1"/>
  <c r="AK27" i="13"/>
  <c r="AB27" i="13"/>
  <c r="AC27" i="13" s="1"/>
  <c r="X27" i="13" s="1"/>
  <c r="V27" i="13"/>
  <c r="U27" i="13"/>
  <c r="W27" i="13" s="1"/>
  <c r="T27" i="13"/>
  <c r="S27" i="13"/>
  <c r="R27" i="13"/>
  <c r="Q27" i="13"/>
  <c r="G27" i="13"/>
  <c r="P27" i="13" s="1"/>
  <c r="AR26" i="13"/>
  <c r="AT26" i="13" s="1"/>
  <c r="AQ26" i="13"/>
  <c r="AS26" i="13" s="1"/>
  <c r="AP26" i="13"/>
  <c r="AO26" i="13"/>
  <c r="AB26" i="13" s="1"/>
  <c r="AD26" i="13" s="1"/>
  <c r="AK26" i="13"/>
  <c r="V26" i="13"/>
  <c r="U26" i="13"/>
  <c r="W26" i="13" s="1"/>
  <c r="T26" i="13"/>
  <c r="S26" i="13"/>
  <c r="R26" i="13"/>
  <c r="Q26" i="13"/>
  <c r="G26" i="13"/>
  <c r="P26" i="13" s="1"/>
  <c r="AR25" i="13"/>
  <c r="AT25" i="13" s="1"/>
  <c r="AQ25" i="13"/>
  <c r="AS25" i="13" s="1"/>
  <c r="AP25" i="13"/>
  <c r="AO25" i="13"/>
  <c r="AK25" i="13"/>
  <c r="V25" i="13"/>
  <c r="U25" i="13"/>
  <c r="W25" i="13" s="1"/>
  <c r="T25" i="13"/>
  <c r="S25" i="13"/>
  <c r="R25" i="13"/>
  <c r="Q25" i="13"/>
  <c r="G25" i="13"/>
  <c r="P25" i="13" s="1"/>
  <c r="AR24" i="13"/>
  <c r="AT24" i="13" s="1"/>
  <c r="AQ24" i="13"/>
  <c r="AS24" i="13" s="1"/>
  <c r="AP24" i="13"/>
  <c r="AO24" i="13"/>
  <c r="AK24" i="13"/>
  <c r="V24" i="13"/>
  <c r="U24" i="13"/>
  <c r="W24" i="13" s="1"/>
  <c r="T24" i="13"/>
  <c r="S24" i="13"/>
  <c r="R24" i="13"/>
  <c r="Q24" i="13"/>
  <c r="G24" i="13"/>
  <c r="P24" i="13" s="1"/>
  <c r="AR23" i="13"/>
  <c r="AT23" i="13" s="1"/>
  <c r="AQ23" i="13"/>
  <c r="AS23" i="13" s="1"/>
  <c r="AP23" i="13"/>
  <c r="AO23" i="13"/>
  <c r="AK23" i="13"/>
  <c r="V23" i="13"/>
  <c r="U23" i="13"/>
  <c r="W23" i="13" s="1"/>
  <c r="T23" i="13"/>
  <c r="S23" i="13"/>
  <c r="R23" i="13"/>
  <c r="Q23" i="13"/>
  <c r="G23" i="13"/>
  <c r="P23" i="13" s="1"/>
  <c r="AR22" i="13"/>
  <c r="AT22" i="13" s="1"/>
  <c r="AQ22" i="13"/>
  <c r="AS22" i="13" s="1"/>
  <c r="AP22" i="13"/>
  <c r="AO22" i="13"/>
  <c r="AK22" i="13"/>
  <c r="V22" i="13"/>
  <c r="U22" i="13"/>
  <c r="W22" i="13" s="1"/>
  <c r="T22" i="13"/>
  <c r="S22" i="13"/>
  <c r="R22" i="13"/>
  <c r="Q22" i="13"/>
  <c r="G22" i="13"/>
  <c r="P22" i="13" s="1"/>
  <c r="AR21" i="13"/>
  <c r="AT21" i="13" s="1"/>
  <c r="AQ21" i="13"/>
  <c r="AS21" i="13" s="1"/>
  <c r="AP21" i="13"/>
  <c r="AO21" i="13"/>
  <c r="AB21" i="13" s="1"/>
  <c r="AC21" i="13" s="1"/>
  <c r="X21" i="13" s="1"/>
  <c r="AK21" i="13"/>
  <c r="V21" i="13"/>
  <c r="U21" i="13"/>
  <c r="W21" i="13" s="1"/>
  <c r="T21" i="13"/>
  <c r="S21" i="13"/>
  <c r="R21" i="13"/>
  <c r="Q21" i="13"/>
  <c r="G21" i="13"/>
  <c r="P21" i="13" s="1"/>
  <c r="AR20" i="13"/>
  <c r="AT20" i="13" s="1"/>
  <c r="AQ20" i="13"/>
  <c r="AS20" i="13" s="1"/>
  <c r="AP20" i="13"/>
  <c r="AO20" i="13"/>
  <c r="AB20" i="13" s="1"/>
  <c r="AD20" i="13" s="1"/>
  <c r="AK20" i="13"/>
  <c r="V20" i="13"/>
  <c r="U20" i="13"/>
  <c r="W20" i="13" s="1"/>
  <c r="T20" i="13"/>
  <c r="S20" i="13"/>
  <c r="R20" i="13"/>
  <c r="Q20" i="13"/>
  <c r="G20" i="13"/>
  <c r="P20" i="13" s="1"/>
  <c r="AR19" i="13"/>
  <c r="AT19" i="13" s="1"/>
  <c r="AQ19" i="13"/>
  <c r="AS19" i="13" s="1"/>
  <c r="AP19" i="13"/>
  <c r="AO19" i="13"/>
  <c r="AK19" i="13"/>
  <c r="AB19" i="13"/>
  <c r="AC19" i="13" s="1"/>
  <c r="X19" i="13" s="1"/>
  <c r="V19" i="13"/>
  <c r="U19" i="13"/>
  <c r="W19" i="13" s="1"/>
  <c r="T19" i="13"/>
  <c r="S19" i="13"/>
  <c r="R19" i="13"/>
  <c r="Q19" i="13"/>
  <c r="G19" i="13"/>
  <c r="P19" i="13" s="1"/>
  <c r="AR18" i="13"/>
  <c r="AT18" i="13" s="1"/>
  <c r="AQ18" i="13"/>
  <c r="AS18" i="13" s="1"/>
  <c r="AP18" i="13"/>
  <c r="AO18" i="13"/>
  <c r="AK18" i="13"/>
  <c r="AB18" i="13"/>
  <c r="AD18" i="13" s="1"/>
  <c r="V18" i="13"/>
  <c r="U18" i="13"/>
  <c r="W18" i="13" s="1"/>
  <c r="T18" i="13"/>
  <c r="S18" i="13"/>
  <c r="R18" i="13"/>
  <c r="Q18" i="13"/>
  <c r="G18" i="13"/>
  <c r="P18" i="13" s="1"/>
  <c r="AR17" i="13"/>
  <c r="AT17" i="13" s="1"/>
  <c r="AQ17" i="13"/>
  <c r="AS17" i="13" s="1"/>
  <c r="AP17" i="13"/>
  <c r="AO17" i="13"/>
  <c r="AB17" i="13" s="1"/>
  <c r="AC17" i="13" s="1"/>
  <c r="X17" i="13" s="1"/>
  <c r="AK17" i="13"/>
  <c r="V17" i="13"/>
  <c r="U17" i="13"/>
  <c r="W17" i="13" s="1"/>
  <c r="T17" i="13"/>
  <c r="S17" i="13"/>
  <c r="R17" i="13"/>
  <c r="Q17" i="13"/>
  <c r="G17" i="13"/>
  <c r="P17" i="13" s="1"/>
  <c r="AR16" i="13"/>
  <c r="AT16" i="13" s="1"/>
  <c r="AQ16" i="13"/>
  <c r="AS16" i="13" s="1"/>
  <c r="AP16" i="13"/>
  <c r="AO16" i="13"/>
  <c r="AK16" i="13"/>
  <c r="V16" i="13"/>
  <c r="U16" i="13"/>
  <c r="W16" i="13" s="1"/>
  <c r="T16" i="13"/>
  <c r="S16" i="13"/>
  <c r="R16" i="13"/>
  <c r="Q16" i="13"/>
  <c r="G16" i="13"/>
  <c r="P16" i="13" s="1"/>
  <c r="AR15" i="13"/>
  <c r="AT15" i="13" s="1"/>
  <c r="AQ15" i="13"/>
  <c r="AS15" i="13" s="1"/>
  <c r="W15" i="13" s="1"/>
  <c r="AP15" i="13"/>
  <c r="AO15" i="13"/>
  <c r="AK15" i="13"/>
  <c r="V15" i="13"/>
  <c r="U15" i="13"/>
  <c r="T15" i="13"/>
  <c r="S15" i="13"/>
  <c r="R15" i="13"/>
  <c r="Q15" i="13"/>
  <c r="G15" i="13"/>
  <c r="P15" i="13" s="1"/>
  <c r="AR14" i="13"/>
  <c r="AT14" i="13" s="1"/>
  <c r="AQ14" i="13"/>
  <c r="AS14" i="13" s="1"/>
  <c r="W14" i="13" s="1"/>
  <c r="AP14" i="13"/>
  <c r="AO14" i="13"/>
  <c r="AK14" i="13"/>
  <c r="V14" i="13"/>
  <c r="U14" i="13"/>
  <c r="T14" i="13"/>
  <c r="S14" i="13"/>
  <c r="R14" i="13"/>
  <c r="Q14" i="13"/>
  <c r="G14" i="13"/>
  <c r="P14" i="13" s="1"/>
  <c r="AR13" i="13"/>
  <c r="AT13" i="13" s="1"/>
  <c r="AQ13" i="13"/>
  <c r="AS13" i="13" s="1"/>
  <c r="AP13" i="13"/>
  <c r="AO13" i="13"/>
  <c r="AK13" i="13"/>
  <c r="W13" i="13"/>
  <c r="V13" i="13"/>
  <c r="U13" i="13"/>
  <c r="T13" i="13"/>
  <c r="S13" i="13"/>
  <c r="R13" i="13"/>
  <c r="Q13" i="13"/>
  <c r="G13" i="13"/>
  <c r="P13" i="13" s="1"/>
  <c r="AR12" i="13"/>
  <c r="AT12" i="13" s="1"/>
  <c r="AQ12" i="13"/>
  <c r="AS12" i="13" s="1"/>
  <c r="W12" i="13" s="1"/>
  <c r="AP12" i="13"/>
  <c r="AO12" i="13"/>
  <c r="AK12" i="13"/>
  <c r="V12" i="13"/>
  <c r="U12" i="13"/>
  <c r="T12" i="13"/>
  <c r="S12" i="13"/>
  <c r="R12" i="13"/>
  <c r="Q12" i="13"/>
  <c r="G12" i="13"/>
  <c r="P12" i="13" s="1"/>
  <c r="AR11" i="13"/>
  <c r="AT11" i="13" s="1"/>
  <c r="AQ11" i="13"/>
  <c r="AS11" i="13" s="1"/>
  <c r="W11" i="13" s="1"/>
  <c r="AP11" i="13"/>
  <c r="AO11" i="13"/>
  <c r="AK11" i="13"/>
  <c r="V11" i="13"/>
  <c r="U11" i="13"/>
  <c r="T11" i="13"/>
  <c r="S11" i="13"/>
  <c r="R11" i="13"/>
  <c r="Q11" i="13"/>
  <c r="G11" i="13"/>
  <c r="P11" i="13" s="1"/>
  <c r="AR10" i="13"/>
  <c r="AT10" i="13" s="1"/>
  <c r="AQ10" i="13"/>
  <c r="AS10" i="13" s="1"/>
  <c r="W10" i="13" s="1"/>
  <c r="AP10" i="13"/>
  <c r="AO10" i="13"/>
  <c r="AK10" i="13"/>
  <c r="V10" i="13"/>
  <c r="U10" i="13"/>
  <c r="T10" i="13"/>
  <c r="S10" i="13"/>
  <c r="R10" i="13"/>
  <c r="Q10" i="13"/>
  <c r="G10" i="13"/>
  <c r="P10" i="13" s="1"/>
  <c r="AR9" i="13"/>
  <c r="AT9" i="13" s="1"/>
  <c r="AQ9" i="13"/>
  <c r="AS9" i="13" s="1"/>
  <c r="W9" i="13" s="1"/>
  <c r="AP9" i="13"/>
  <c r="AO9" i="13"/>
  <c r="AK9" i="13"/>
  <c r="V9" i="13"/>
  <c r="U9" i="13"/>
  <c r="T9" i="13"/>
  <c r="S9" i="13"/>
  <c r="R9" i="13"/>
  <c r="Q9" i="13"/>
  <c r="G9" i="13"/>
  <c r="P9" i="13" s="1"/>
  <c r="AR8" i="13"/>
  <c r="AT8" i="13" s="1"/>
  <c r="AQ8" i="13"/>
  <c r="AS8" i="13" s="1"/>
  <c r="W8" i="13" s="1"/>
  <c r="AP8" i="13"/>
  <c r="AO8" i="13"/>
  <c r="AK8" i="13"/>
  <c r="AB8" i="13"/>
  <c r="AC8" i="13" s="1"/>
  <c r="X8" i="13" s="1"/>
  <c r="V8" i="13"/>
  <c r="U8" i="13"/>
  <c r="T8" i="13"/>
  <c r="S8" i="13"/>
  <c r="R8" i="13"/>
  <c r="Q8" i="13"/>
  <c r="G8" i="13"/>
  <c r="P8" i="13" s="1"/>
  <c r="AR7" i="13"/>
  <c r="AT7" i="13" s="1"/>
  <c r="AQ7" i="13"/>
  <c r="AS7" i="13" s="1"/>
  <c r="AP7" i="13"/>
  <c r="AO7" i="13"/>
  <c r="AK7" i="13"/>
  <c r="V7" i="13"/>
  <c r="U7" i="13"/>
  <c r="T7" i="13"/>
  <c r="S7" i="13"/>
  <c r="R7" i="13"/>
  <c r="Q7" i="13"/>
  <c r="G7" i="13"/>
  <c r="P7" i="13" s="1"/>
  <c r="AR6" i="13"/>
  <c r="AT6" i="13" s="1"/>
  <c r="AQ6" i="13"/>
  <c r="AS6" i="13" s="1"/>
  <c r="AP6" i="13"/>
  <c r="AO6" i="13"/>
  <c r="AK6" i="13"/>
  <c r="V6" i="13"/>
  <c r="U6" i="13"/>
  <c r="T6" i="13"/>
  <c r="S6" i="13"/>
  <c r="R6" i="13"/>
  <c r="Q6" i="13"/>
  <c r="G6" i="13"/>
  <c r="P6" i="13" s="1"/>
  <c r="X3" i="13"/>
  <c r="X3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2" i="12"/>
  <c r="S23" i="12"/>
  <c r="S24" i="12"/>
  <c r="S25" i="12"/>
  <c r="S26" i="12"/>
  <c r="S27" i="12"/>
  <c r="S28" i="12"/>
  <c r="S29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43" i="12"/>
  <c r="T44" i="12"/>
  <c r="T45" i="12"/>
  <c r="T6" i="12"/>
  <c r="R7" i="12"/>
  <c r="R8" i="12"/>
  <c r="R9" i="12"/>
  <c r="R10" i="12"/>
  <c r="R11" i="12"/>
  <c r="R12" i="12"/>
  <c r="R13" i="12"/>
  <c r="R14" i="12"/>
  <c r="R15" i="12"/>
  <c r="R16" i="12"/>
  <c r="R17" i="12"/>
  <c r="R18" i="12"/>
  <c r="R19" i="12"/>
  <c r="R20" i="12"/>
  <c r="R22" i="12"/>
  <c r="R23" i="12"/>
  <c r="R24" i="12"/>
  <c r="R25" i="12"/>
  <c r="R26" i="12"/>
  <c r="R27" i="12"/>
  <c r="R28" i="12"/>
  <c r="R29" i="12"/>
  <c r="R30" i="12"/>
  <c r="R31" i="12"/>
  <c r="R32" i="12"/>
  <c r="R33" i="12"/>
  <c r="R34" i="12"/>
  <c r="R35" i="12"/>
  <c r="R36" i="12"/>
  <c r="R37" i="12"/>
  <c r="R38" i="12"/>
  <c r="R39" i="12"/>
  <c r="R40" i="12"/>
  <c r="R41" i="12"/>
  <c r="R42" i="12"/>
  <c r="R43" i="12"/>
  <c r="R44" i="12"/>
  <c r="R45" i="12"/>
  <c r="R6" i="12"/>
  <c r="Q7" i="12"/>
  <c r="Q8" i="12"/>
  <c r="Q9" i="12"/>
  <c r="Q10" i="12"/>
  <c r="Q11" i="12"/>
  <c r="Q12" i="12"/>
  <c r="Q13" i="12"/>
  <c r="Q14" i="12"/>
  <c r="Q15" i="12"/>
  <c r="Q16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Q32" i="12"/>
  <c r="Q33" i="12"/>
  <c r="Q34" i="12"/>
  <c r="Q35" i="12"/>
  <c r="Q36" i="12"/>
  <c r="Q37" i="12"/>
  <c r="Q38" i="12"/>
  <c r="Q39" i="12"/>
  <c r="Q40" i="12"/>
  <c r="Q41" i="12"/>
  <c r="Q42" i="12"/>
  <c r="Q43" i="12"/>
  <c r="Q44" i="12"/>
  <c r="Q45" i="12"/>
  <c r="Q6" i="12"/>
  <c r="D31" i="11"/>
  <c r="C31" i="11"/>
  <c r="D30" i="11"/>
  <c r="C30" i="11"/>
  <c r="V7" i="12"/>
  <c r="V8" i="12"/>
  <c r="V9" i="12"/>
  <c r="V10" i="12"/>
  <c r="V11" i="12"/>
  <c r="V12" i="12"/>
  <c r="V13" i="12"/>
  <c r="V14" i="12"/>
  <c r="V15" i="12"/>
  <c r="V16" i="12"/>
  <c r="V17" i="12"/>
  <c r="V18" i="12"/>
  <c r="V19" i="12"/>
  <c r="V20" i="12"/>
  <c r="V22" i="12"/>
  <c r="V23" i="12"/>
  <c r="V24" i="12"/>
  <c r="V25" i="12"/>
  <c r="V26" i="12"/>
  <c r="V27" i="12"/>
  <c r="V28" i="12"/>
  <c r="V29" i="12"/>
  <c r="V30" i="12"/>
  <c r="V31" i="12"/>
  <c r="V32" i="12"/>
  <c r="V33" i="12"/>
  <c r="V34" i="12"/>
  <c r="V35" i="12"/>
  <c r="V36" i="12"/>
  <c r="V37" i="12"/>
  <c r="V38" i="12"/>
  <c r="V39" i="12"/>
  <c r="V40" i="12"/>
  <c r="V41" i="12"/>
  <c r="V42" i="12"/>
  <c r="V43" i="12"/>
  <c r="V44" i="12"/>
  <c r="V45" i="12"/>
  <c r="V6" i="12"/>
  <c r="P3" i="6"/>
  <c r="P4" i="6" s="1"/>
  <c r="P5" i="6" s="1"/>
  <c r="P6" i="6" s="1"/>
  <c r="P7" i="6" s="1"/>
  <c r="P8" i="6" s="1"/>
  <c r="P9" i="6" s="1"/>
  <c r="P10" i="6" s="1"/>
  <c r="P11" i="6" s="1"/>
  <c r="P12" i="6" s="1"/>
  <c r="Q3" i="6"/>
  <c r="Q4" i="6" s="1"/>
  <c r="Q5" i="6" s="1"/>
  <c r="Q6" i="6" s="1"/>
  <c r="Q7" i="6" s="1"/>
  <c r="Q8" i="6" s="1"/>
  <c r="Q9" i="6" s="1"/>
  <c r="Q10" i="6" s="1"/>
  <c r="Q11" i="6" s="1"/>
  <c r="Q12" i="6" s="1"/>
  <c r="R3" i="6"/>
  <c r="R4" i="6" s="1"/>
  <c r="R5" i="6" s="1"/>
  <c r="R6" i="6" s="1"/>
  <c r="R7" i="6" s="1"/>
  <c r="R8" i="6" s="1"/>
  <c r="R9" i="6" s="1"/>
  <c r="R10" i="6" s="1"/>
  <c r="R11" i="6" s="1"/>
  <c r="R12" i="6" s="1"/>
  <c r="S3" i="6"/>
  <c r="S4" i="6" s="1"/>
  <c r="S5" i="6" s="1"/>
  <c r="S6" i="6" s="1"/>
  <c r="S7" i="6" s="1"/>
  <c r="S8" i="6" s="1"/>
  <c r="S9" i="6" s="1"/>
  <c r="S10" i="6" s="1"/>
  <c r="S11" i="6" s="1"/>
  <c r="S12" i="6" s="1"/>
  <c r="T3" i="6"/>
  <c r="T4" i="6" s="1"/>
  <c r="T5" i="6" s="1"/>
  <c r="T6" i="6" s="1"/>
  <c r="T7" i="6" s="1"/>
  <c r="T8" i="6" s="1"/>
  <c r="T9" i="6" s="1"/>
  <c r="T10" i="6" s="1"/>
  <c r="T11" i="6" s="1"/>
  <c r="T12" i="6" s="1"/>
  <c r="Y34" i="13" l="1"/>
  <c r="W7" i="13"/>
  <c r="AJ7" i="13" s="1"/>
  <c r="Y31" i="13"/>
  <c r="Y29" i="13"/>
  <c r="Z32" i="13"/>
  <c r="Z36" i="13"/>
  <c r="Z42" i="13"/>
  <c r="Z44" i="13"/>
  <c r="Y28" i="13"/>
  <c r="Y30" i="13"/>
  <c r="Z34" i="13"/>
  <c r="Z38" i="13"/>
  <c r="W6" i="13"/>
  <c r="AJ6" i="13" s="1"/>
  <c r="AC40" i="13"/>
  <c r="X40" i="13" s="1"/>
  <c r="AC28" i="13"/>
  <c r="X28" i="13" s="1"/>
  <c r="AC30" i="13"/>
  <c r="X30" i="13" s="1"/>
  <c r="AC32" i="13"/>
  <c r="X32" i="13" s="1"/>
  <c r="Z28" i="13"/>
  <c r="Z30" i="13"/>
  <c r="AC36" i="13"/>
  <c r="X36" i="13" s="1"/>
  <c r="Z40" i="13"/>
  <c r="AC34" i="13"/>
  <c r="X34" i="13" s="1"/>
  <c r="AC38" i="13"/>
  <c r="X38" i="13" s="1"/>
  <c r="AC42" i="13"/>
  <c r="X42" i="13" s="1"/>
  <c r="AC44" i="13"/>
  <c r="X44" i="13" s="1"/>
  <c r="AJ10" i="13"/>
  <c r="AI10" i="13"/>
  <c r="AI11" i="13"/>
  <c r="AJ11" i="13"/>
  <c r="AJ12" i="13"/>
  <c r="AI12" i="13"/>
  <c r="AI7" i="13"/>
  <c r="AJ8" i="13"/>
  <c r="AI8" i="13"/>
  <c r="AI9" i="13"/>
  <c r="AJ9" i="13"/>
  <c r="AJ13" i="13"/>
  <c r="AI13" i="13"/>
  <c r="AJ15" i="13"/>
  <c r="AI15" i="13"/>
  <c r="AJ17" i="13"/>
  <c r="AI17" i="13"/>
  <c r="AJ19" i="13"/>
  <c r="AI19" i="13"/>
  <c r="AJ21" i="13"/>
  <c r="AI21" i="13"/>
  <c r="AJ23" i="13"/>
  <c r="AI23" i="13"/>
  <c r="AJ25" i="13"/>
  <c r="AI25" i="13"/>
  <c r="AI28" i="13"/>
  <c r="AL28" i="13" s="1"/>
  <c r="AE28" i="13" s="1"/>
  <c r="AA28" i="13" s="1"/>
  <c r="AJ28" i="13"/>
  <c r="AJ29" i="13"/>
  <c r="AI29" i="13"/>
  <c r="AL29" i="13" s="1"/>
  <c r="AE29" i="13" s="1"/>
  <c r="AA29" i="13" s="1"/>
  <c r="AI32" i="13"/>
  <c r="AL32" i="13" s="1"/>
  <c r="AE32" i="13" s="1"/>
  <c r="AA32" i="13" s="1"/>
  <c r="AJ32" i="13"/>
  <c r="AJ33" i="13"/>
  <c r="AI33" i="13"/>
  <c r="AL33" i="13" s="1"/>
  <c r="AE33" i="13" s="1"/>
  <c r="AA33" i="13" s="1"/>
  <c r="AI36" i="13"/>
  <c r="AL36" i="13" s="1"/>
  <c r="AE36" i="13" s="1"/>
  <c r="AA36" i="13" s="1"/>
  <c r="AJ36" i="13"/>
  <c r="AI38" i="13"/>
  <c r="AL38" i="13" s="1"/>
  <c r="AE38" i="13" s="1"/>
  <c r="AA38" i="13" s="1"/>
  <c r="AJ38" i="13"/>
  <c r="AI40" i="13"/>
  <c r="AL40" i="13" s="1"/>
  <c r="AE40" i="13" s="1"/>
  <c r="AA40" i="13" s="1"/>
  <c r="AJ40" i="13"/>
  <c r="AI42" i="13"/>
  <c r="AL42" i="13" s="1"/>
  <c r="AE42" i="13" s="1"/>
  <c r="AA42" i="13" s="1"/>
  <c r="AJ42" i="13"/>
  <c r="AJ45" i="13"/>
  <c r="AI45" i="13"/>
  <c r="AL45" i="13" s="1"/>
  <c r="AE45" i="13" s="1"/>
  <c r="AA45" i="13" s="1"/>
  <c r="AD8" i="13"/>
  <c r="AI14" i="13"/>
  <c r="AJ14" i="13"/>
  <c r="AI16" i="13"/>
  <c r="AJ16" i="13"/>
  <c r="AI18" i="13"/>
  <c r="AJ18" i="13"/>
  <c r="AI20" i="13"/>
  <c r="AJ20" i="13"/>
  <c r="AI22" i="13"/>
  <c r="AJ22" i="13"/>
  <c r="AI24" i="13"/>
  <c r="AJ24" i="13"/>
  <c r="AI26" i="13"/>
  <c r="AJ26" i="13"/>
  <c r="AJ27" i="13"/>
  <c r="AI27" i="13"/>
  <c r="AL27" i="13" s="1"/>
  <c r="AE27" i="13" s="1"/>
  <c r="AA27" i="13" s="1"/>
  <c r="AI30" i="13"/>
  <c r="AL30" i="13" s="1"/>
  <c r="AE30" i="13" s="1"/>
  <c r="AA30" i="13" s="1"/>
  <c r="AJ30" i="13"/>
  <c r="AJ31" i="13"/>
  <c r="AI31" i="13"/>
  <c r="AL31" i="13" s="1"/>
  <c r="AE31" i="13" s="1"/>
  <c r="AA31" i="13" s="1"/>
  <c r="AI34" i="13"/>
  <c r="AL34" i="13" s="1"/>
  <c r="AE34" i="13" s="1"/>
  <c r="AA34" i="13" s="1"/>
  <c r="AJ34" i="13"/>
  <c r="AJ35" i="13"/>
  <c r="AI35" i="13"/>
  <c r="AL35" i="13" s="1"/>
  <c r="AE35" i="13" s="1"/>
  <c r="AA35" i="13" s="1"/>
  <c r="AJ37" i="13"/>
  <c r="AI37" i="13"/>
  <c r="AL37" i="13" s="1"/>
  <c r="AE37" i="13" s="1"/>
  <c r="AA37" i="13" s="1"/>
  <c r="AJ39" i="13"/>
  <c r="AI39" i="13"/>
  <c r="AL39" i="13" s="1"/>
  <c r="AE39" i="13" s="1"/>
  <c r="AA39" i="13" s="1"/>
  <c r="AJ41" i="13"/>
  <c r="AI41" i="13"/>
  <c r="AL41" i="13" s="1"/>
  <c r="AE41" i="13" s="1"/>
  <c r="AA41" i="13" s="1"/>
  <c r="AJ43" i="13"/>
  <c r="AI43" i="13"/>
  <c r="AL43" i="13" s="1"/>
  <c r="AE43" i="13" s="1"/>
  <c r="AA43" i="13" s="1"/>
  <c r="AI44" i="13"/>
  <c r="AL44" i="13" s="1"/>
  <c r="AE44" i="13" s="1"/>
  <c r="AA44" i="13" s="1"/>
  <c r="AJ44" i="13"/>
  <c r="AD17" i="13"/>
  <c r="AC18" i="13"/>
  <c r="X18" i="13" s="1"/>
  <c r="AD19" i="13"/>
  <c r="AC20" i="13"/>
  <c r="X20" i="13" s="1"/>
  <c r="AD21" i="13"/>
  <c r="AC26" i="13"/>
  <c r="X26" i="13" s="1"/>
  <c r="AD27" i="13"/>
  <c r="Z27" i="13" s="1"/>
  <c r="AD29" i="13"/>
  <c r="Z29" i="13" s="1"/>
  <c r="AD31" i="13"/>
  <c r="Z31" i="13" s="1"/>
  <c r="AD33" i="13"/>
  <c r="Z33" i="13" s="1"/>
  <c r="AD35" i="13"/>
  <c r="Z35" i="13" s="1"/>
  <c r="AD37" i="13"/>
  <c r="Z37" i="13" s="1"/>
  <c r="AD39" i="13"/>
  <c r="Z39" i="13" s="1"/>
  <c r="AD41" i="13"/>
  <c r="Z41" i="13" s="1"/>
  <c r="AD43" i="13"/>
  <c r="Z43" i="13" s="1"/>
  <c r="AD45" i="13"/>
  <c r="Z45" i="13" s="1"/>
  <c r="U20" i="12"/>
  <c r="AB33" i="12"/>
  <c r="AB34" i="12"/>
  <c r="AB35" i="12"/>
  <c r="AB36" i="12"/>
  <c r="AB37" i="12"/>
  <c r="AB38" i="12"/>
  <c r="AB39" i="12"/>
  <c r="AB40" i="12"/>
  <c r="AB41" i="12"/>
  <c r="AB42" i="12"/>
  <c r="AB43" i="12"/>
  <c r="AB44" i="12"/>
  <c r="AB45" i="12"/>
  <c r="G7" i="12"/>
  <c r="P7" i="12" s="1"/>
  <c r="G8" i="12"/>
  <c r="P8" i="12" s="1"/>
  <c r="G9" i="12"/>
  <c r="P9" i="12" s="1"/>
  <c r="G10" i="12"/>
  <c r="P10" i="12" s="1"/>
  <c r="G11" i="12"/>
  <c r="P11" i="12" s="1"/>
  <c r="G12" i="12"/>
  <c r="P12" i="12" s="1"/>
  <c r="G13" i="12"/>
  <c r="P13" i="12" s="1"/>
  <c r="G14" i="12"/>
  <c r="P14" i="12" s="1"/>
  <c r="G15" i="12"/>
  <c r="P15" i="12" s="1"/>
  <c r="G16" i="12"/>
  <c r="P16" i="12" s="1"/>
  <c r="G17" i="12"/>
  <c r="P17" i="12" s="1"/>
  <c r="G18" i="12"/>
  <c r="P18" i="12" s="1"/>
  <c r="G19" i="12"/>
  <c r="P19" i="12" s="1"/>
  <c r="G20" i="12"/>
  <c r="P20" i="12" s="1"/>
  <c r="G21" i="12"/>
  <c r="P21" i="12" s="1"/>
  <c r="G22" i="12"/>
  <c r="P22" i="12" s="1"/>
  <c r="G23" i="12"/>
  <c r="P23" i="12" s="1"/>
  <c r="G24" i="12"/>
  <c r="P24" i="12" s="1"/>
  <c r="G25" i="12"/>
  <c r="P25" i="12" s="1"/>
  <c r="G26" i="12"/>
  <c r="P26" i="12" s="1"/>
  <c r="G27" i="12"/>
  <c r="P27" i="12" s="1"/>
  <c r="G28" i="12"/>
  <c r="P28" i="12" s="1"/>
  <c r="G29" i="12"/>
  <c r="P29" i="12" s="1"/>
  <c r="G30" i="12"/>
  <c r="P30" i="12" s="1"/>
  <c r="G31" i="12"/>
  <c r="P31" i="12" s="1"/>
  <c r="G32" i="12"/>
  <c r="P32" i="12" s="1"/>
  <c r="G33" i="12"/>
  <c r="P33" i="12" s="1"/>
  <c r="G34" i="12"/>
  <c r="P34" i="12" s="1"/>
  <c r="G35" i="12"/>
  <c r="P35" i="12" s="1"/>
  <c r="G36" i="12"/>
  <c r="P36" i="12" s="1"/>
  <c r="G37" i="12"/>
  <c r="P37" i="12" s="1"/>
  <c r="G38" i="12"/>
  <c r="P38" i="12" s="1"/>
  <c r="G39" i="12"/>
  <c r="P39" i="12" s="1"/>
  <c r="G40" i="12"/>
  <c r="P40" i="12" s="1"/>
  <c r="G41" i="12"/>
  <c r="P41" i="12" s="1"/>
  <c r="G42" i="12"/>
  <c r="P42" i="12" s="1"/>
  <c r="G43" i="12"/>
  <c r="P43" i="12" s="1"/>
  <c r="G44" i="12"/>
  <c r="P44" i="12" s="1"/>
  <c r="G45" i="12"/>
  <c r="P45" i="12" s="1"/>
  <c r="G6" i="12"/>
  <c r="P6" i="12" s="1"/>
  <c r="AS3" i="6"/>
  <c r="AR3" i="6"/>
  <c r="AQ3" i="6"/>
  <c r="AP3" i="6"/>
  <c r="AP4" i="6" s="1"/>
  <c r="AP5" i="6" s="1"/>
  <c r="AP6" i="6" s="1"/>
  <c r="AP7" i="6" s="1"/>
  <c r="AP8" i="6" s="1"/>
  <c r="AP9" i="6" s="1"/>
  <c r="AP10" i="6" s="1"/>
  <c r="AP11" i="6" s="1"/>
  <c r="AP12" i="6" s="1"/>
  <c r="AO3" i="6"/>
  <c r="AN3" i="6"/>
  <c r="AM3" i="6"/>
  <c r="AL3" i="6"/>
  <c r="AL4" i="6" s="1"/>
  <c r="AL5" i="6" s="1"/>
  <c r="AL6" i="6" s="1"/>
  <c r="AL7" i="6" s="1"/>
  <c r="AL8" i="6" s="1"/>
  <c r="AL9" i="6" s="1"/>
  <c r="AL10" i="6" s="1"/>
  <c r="AL11" i="6" s="1"/>
  <c r="AL12" i="6" s="1"/>
  <c r="AK3" i="6"/>
  <c r="AJ3" i="6"/>
  <c r="AI3" i="6"/>
  <c r="AH3" i="6"/>
  <c r="AH4" i="6" s="1"/>
  <c r="AH5" i="6" s="1"/>
  <c r="AH6" i="6" s="1"/>
  <c r="AH7" i="6" s="1"/>
  <c r="AH8" i="6" s="1"/>
  <c r="AH9" i="6" s="1"/>
  <c r="AH10" i="6" s="1"/>
  <c r="AH11" i="6" s="1"/>
  <c r="AH12" i="6" s="1"/>
  <c r="AG3" i="6"/>
  <c r="AB25" i="13" s="1"/>
  <c r="AC25" i="13" s="1"/>
  <c r="X25" i="13" s="1"/>
  <c r="AF3" i="6"/>
  <c r="AE3" i="6"/>
  <c r="AD3" i="6"/>
  <c r="AD4" i="6" s="1"/>
  <c r="AD5" i="6" s="1"/>
  <c r="AC3" i="6"/>
  <c r="AB3" i="6"/>
  <c r="AB4" i="6" s="1"/>
  <c r="AB5" i="6" s="1"/>
  <c r="AB6" i="6" s="1"/>
  <c r="AB7" i="6" s="1"/>
  <c r="AA3" i="6"/>
  <c r="AA4" i="6" s="1"/>
  <c r="AA5" i="6" s="1"/>
  <c r="AA6" i="6" s="1"/>
  <c r="AA7" i="6" s="1"/>
  <c r="Z3" i="6"/>
  <c r="Z4" i="6" s="1"/>
  <c r="Z5" i="6" s="1"/>
  <c r="Z6" i="6" s="1"/>
  <c r="Z7" i="6" s="1"/>
  <c r="Y3" i="6"/>
  <c r="Y4" i="6" s="1"/>
  <c r="Y5" i="6" s="1"/>
  <c r="Y6" i="6" s="1"/>
  <c r="Y7" i="6" s="1"/>
  <c r="X3" i="6"/>
  <c r="X4" i="6" s="1"/>
  <c r="X5" i="6" s="1"/>
  <c r="X6" i="6" s="1"/>
  <c r="X7" i="6" s="1"/>
  <c r="W3" i="6"/>
  <c r="W4" i="6" s="1"/>
  <c r="W5" i="6" s="1"/>
  <c r="W6" i="6" s="1"/>
  <c r="W7" i="6" s="1"/>
  <c r="V3" i="6"/>
  <c r="V4" i="6" s="1"/>
  <c r="V5" i="6" s="1"/>
  <c r="V6" i="6" s="1"/>
  <c r="V7" i="6" s="1"/>
  <c r="AC4" i="6"/>
  <c r="AC5" i="6" s="1"/>
  <c r="AE4" i="6"/>
  <c r="AE5" i="6" s="1"/>
  <c r="AF4" i="6"/>
  <c r="AF5" i="6" s="1"/>
  <c r="AG4" i="6"/>
  <c r="AG5" i="6" s="1"/>
  <c r="AG6" i="6" s="1"/>
  <c r="AG7" i="6" s="1"/>
  <c r="AG8" i="6" s="1"/>
  <c r="AG9" i="6" s="1"/>
  <c r="AG10" i="6" s="1"/>
  <c r="AG11" i="6" s="1"/>
  <c r="AG12" i="6" s="1"/>
  <c r="AI4" i="6"/>
  <c r="AI5" i="6" s="1"/>
  <c r="AI6" i="6" s="1"/>
  <c r="AI7" i="6" s="1"/>
  <c r="AI8" i="6" s="1"/>
  <c r="AI9" i="6" s="1"/>
  <c r="AI10" i="6" s="1"/>
  <c r="AI11" i="6" s="1"/>
  <c r="AI12" i="6" s="1"/>
  <c r="AJ4" i="6"/>
  <c r="AJ5" i="6" s="1"/>
  <c r="AJ6" i="6" s="1"/>
  <c r="AJ7" i="6" s="1"/>
  <c r="AJ8" i="6" s="1"/>
  <c r="AJ9" i="6" s="1"/>
  <c r="AJ10" i="6" s="1"/>
  <c r="AJ11" i="6" s="1"/>
  <c r="AJ12" i="6" s="1"/>
  <c r="AK4" i="6"/>
  <c r="AK5" i="6" s="1"/>
  <c r="AK6" i="6" s="1"/>
  <c r="AK7" i="6" s="1"/>
  <c r="AK8" i="6" s="1"/>
  <c r="AK9" i="6" s="1"/>
  <c r="AK10" i="6" s="1"/>
  <c r="AK11" i="6" s="1"/>
  <c r="AK12" i="6" s="1"/>
  <c r="AM4" i="6"/>
  <c r="AM5" i="6" s="1"/>
  <c r="AM6" i="6" s="1"/>
  <c r="AM7" i="6" s="1"/>
  <c r="AM8" i="6" s="1"/>
  <c r="AM9" i="6" s="1"/>
  <c r="AM10" i="6" s="1"/>
  <c r="AM11" i="6" s="1"/>
  <c r="AM12" i="6" s="1"/>
  <c r="AN4" i="6"/>
  <c r="AN5" i="6" s="1"/>
  <c r="AN6" i="6" s="1"/>
  <c r="AN7" i="6" s="1"/>
  <c r="AN8" i="6" s="1"/>
  <c r="AN9" i="6" s="1"/>
  <c r="AN10" i="6" s="1"/>
  <c r="AN11" i="6" s="1"/>
  <c r="AN12" i="6" s="1"/>
  <c r="AO4" i="6"/>
  <c r="AO5" i="6" s="1"/>
  <c r="AO6" i="6" s="1"/>
  <c r="AO7" i="6" s="1"/>
  <c r="AO8" i="6" s="1"/>
  <c r="AO9" i="6" s="1"/>
  <c r="AO10" i="6" s="1"/>
  <c r="AO11" i="6" s="1"/>
  <c r="AO12" i="6" s="1"/>
  <c r="AQ4" i="6"/>
  <c r="AQ5" i="6" s="1"/>
  <c r="AQ6" i="6" s="1"/>
  <c r="AQ7" i="6" s="1"/>
  <c r="AQ8" i="6" s="1"/>
  <c r="AQ9" i="6" s="1"/>
  <c r="AQ10" i="6" s="1"/>
  <c r="AQ11" i="6" s="1"/>
  <c r="AQ12" i="6" s="1"/>
  <c r="AR4" i="6"/>
  <c r="AR5" i="6" s="1"/>
  <c r="AR6" i="6" s="1"/>
  <c r="AR7" i="6" s="1"/>
  <c r="AR8" i="6" s="1"/>
  <c r="AR9" i="6" s="1"/>
  <c r="AR10" i="6" s="1"/>
  <c r="AR11" i="6" s="1"/>
  <c r="AR12" i="6" s="1"/>
  <c r="AS4" i="6"/>
  <c r="AS5" i="6" s="1"/>
  <c r="AS6" i="6" s="1"/>
  <c r="AS7" i="6" s="1"/>
  <c r="AS8" i="6" s="1"/>
  <c r="AS9" i="6" s="1"/>
  <c r="AS10" i="6" s="1"/>
  <c r="AS11" i="6" s="1"/>
  <c r="AS12" i="6" s="1"/>
  <c r="U4" i="6"/>
  <c r="U5" i="6" s="1"/>
  <c r="U6" i="6" s="1"/>
  <c r="U7" i="6" s="1"/>
  <c r="AR45" i="12"/>
  <c r="AT45" i="12" s="1"/>
  <c r="AQ45" i="12"/>
  <c r="AS45" i="12" s="1"/>
  <c r="AP45" i="12"/>
  <c r="AO45" i="12"/>
  <c r="AN45" i="12"/>
  <c r="AG45" i="12" s="1"/>
  <c r="AM45" i="12"/>
  <c r="AF45" i="12" s="1"/>
  <c r="AK45" i="12"/>
  <c r="U45" i="12"/>
  <c r="W45" i="12" s="1"/>
  <c r="AJ45" i="12" s="1"/>
  <c r="AR44" i="12"/>
  <c r="AT44" i="12" s="1"/>
  <c r="AQ44" i="12"/>
  <c r="AS44" i="12" s="1"/>
  <c r="AP44" i="12"/>
  <c r="AO44" i="12"/>
  <c r="AN44" i="12"/>
  <c r="AG44" i="12" s="1"/>
  <c r="AM44" i="12"/>
  <c r="AF44" i="12" s="1"/>
  <c r="AK44" i="12"/>
  <c r="U44" i="12"/>
  <c r="W44" i="12" s="1"/>
  <c r="AR43" i="12"/>
  <c r="AT43" i="12" s="1"/>
  <c r="AQ43" i="12"/>
  <c r="AS43" i="12" s="1"/>
  <c r="AP43" i="12"/>
  <c r="AO43" i="12"/>
  <c r="AN43" i="12"/>
  <c r="AG43" i="12" s="1"/>
  <c r="AM43" i="12"/>
  <c r="AF43" i="12" s="1"/>
  <c r="AK43" i="12"/>
  <c r="U43" i="12"/>
  <c r="W43" i="12" s="1"/>
  <c r="AJ43" i="12" s="1"/>
  <c r="AR42" i="12"/>
  <c r="AT42" i="12" s="1"/>
  <c r="AQ42" i="12"/>
  <c r="AS42" i="12" s="1"/>
  <c r="AP42" i="12"/>
  <c r="AO42" i="12"/>
  <c r="AN42" i="12"/>
  <c r="AG42" i="12" s="1"/>
  <c r="AM42" i="12"/>
  <c r="AF42" i="12" s="1"/>
  <c r="AK42" i="12"/>
  <c r="U42" i="12"/>
  <c r="W42" i="12" s="1"/>
  <c r="AR41" i="12"/>
  <c r="AT41" i="12" s="1"/>
  <c r="AQ41" i="12"/>
  <c r="AS41" i="12" s="1"/>
  <c r="AP41" i="12"/>
  <c r="AO41" i="12"/>
  <c r="AN41" i="12"/>
  <c r="AG41" i="12" s="1"/>
  <c r="AM41" i="12"/>
  <c r="AF41" i="12" s="1"/>
  <c r="AK41" i="12"/>
  <c r="U41" i="12"/>
  <c r="W41" i="12" s="1"/>
  <c r="AJ41" i="12" s="1"/>
  <c r="AR40" i="12"/>
  <c r="AT40" i="12" s="1"/>
  <c r="AQ40" i="12"/>
  <c r="AS40" i="12" s="1"/>
  <c r="AP40" i="12"/>
  <c r="AO40" i="12"/>
  <c r="AN40" i="12"/>
  <c r="AG40" i="12" s="1"/>
  <c r="AM40" i="12"/>
  <c r="AF40" i="12" s="1"/>
  <c r="AK40" i="12"/>
  <c r="U40" i="12"/>
  <c r="W40" i="12" s="1"/>
  <c r="AR39" i="12"/>
  <c r="AT39" i="12" s="1"/>
  <c r="AQ39" i="12"/>
  <c r="AS39" i="12" s="1"/>
  <c r="AP39" i="12"/>
  <c r="AO39" i="12"/>
  <c r="AN39" i="12"/>
  <c r="AG39" i="12" s="1"/>
  <c r="AM39" i="12"/>
  <c r="AF39" i="12" s="1"/>
  <c r="AK39" i="12"/>
  <c r="U39" i="12"/>
  <c r="W39" i="12" s="1"/>
  <c r="AJ39" i="12" s="1"/>
  <c r="AR38" i="12"/>
  <c r="AT38" i="12" s="1"/>
  <c r="AQ38" i="12"/>
  <c r="AS38" i="12" s="1"/>
  <c r="AP38" i="12"/>
  <c r="AO38" i="12"/>
  <c r="AN38" i="12"/>
  <c r="AG38" i="12" s="1"/>
  <c r="AM38" i="12"/>
  <c r="AF38" i="12" s="1"/>
  <c r="AK38" i="12"/>
  <c r="U38" i="12"/>
  <c r="W38" i="12" s="1"/>
  <c r="AR37" i="12"/>
  <c r="AT37" i="12" s="1"/>
  <c r="AQ37" i="12"/>
  <c r="AS37" i="12" s="1"/>
  <c r="AP37" i="12"/>
  <c r="AO37" i="12"/>
  <c r="AN37" i="12"/>
  <c r="AG37" i="12" s="1"/>
  <c r="AM37" i="12"/>
  <c r="AF37" i="12" s="1"/>
  <c r="AK37" i="12"/>
  <c r="U37" i="12"/>
  <c r="W37" i="12" s="1"/>
  <c r="AJ37" i="12" s="1"/>
  <c r="AR36" i="12"/>
  <c r="AT36" i="12" s="1"/>
  <c r="AQ36" i="12"/>
  <c r="AS36" i="12" s="1"/>
  <c r="AP36" i="12"/>
  <c r="AO36" i="12"/>
  <c r="AN36" i="12"/>
  <c r="AG36" i="12" s="1"/>
  <c r="AM36" i="12"/>
  <c r="AF36" i="12" s="1"/>
  <c r="AK36" i="12"/>
  <c r="U36" i="12"/>
  <c r="W36" i="12" s="1"/>
  <c r="AR35" i="12"/>
  <c r="AT35" i="12" s="1"/>
  <c r="AQ35" i="12"/>
  <c r="AS35" i="12" s="1"/>
  <c r="AP35" i="12"/>
  <c r="AO35" i="12"/>
  <c r="AN35" i="12"/>
  <c r="AG35" i="12" s="1"/>
  <c r="AM35" i="12"/>
  <c r="AF35" i="12" s="1"/>
  <c r="AK35" i="12"/>
  <c r="U35" i="12"/>
  <c r="W35" i="12" s="1"/>
  <c r="AJ35" i="12" s="1"/>
  <c r="AR34" i="12"/>
  <c r="AT34" i="12" s="1"/>
  <c r="AQ34" i="12"/>
  <c r="AS34" i="12" s="1"/>
  <c r="AP34" i="12"/>
  <c r="AO34" i="12"/>
  <c r="AN34" i="12"/>
  <c r="AG34" i="12" s="1"/>
  <c r="AM34" i="12"/>
  <c r="AF34" i="12" s="1"/>
  <c r="AK34" i="12"/>
  <c r="U34" i="12"/>
  <c r="AR33" i="12"/>
  <c r="AT33" i="12" s="1"/>
  <c r="AQ33" i="12"/>
  <c r="AS33" i="12" s="1"/>
  <c r="AP33" i="12"/>
  <c r="AO33" i="12"/>
  <c r="AN33" i="12"/>
  <c r="AG33" i="12" s="1"/>
  <c r="AM33" i="12"/>
  <c r="AF33" i="12" s="1"/>
  <c r="AK33" i="12"/>
  <c r="U33" i="12"/>
  <c r="W33" i="12" s="1"/>
  <c r="AJ33" i="12" s="1"/>
  <c r="AR32" i="12"/>
  <c r="AT32" i="12" s="1"/>
  <c r="AQ32" i="12"/>
  <c r="AS32" i="12" s="1"/>
  <c r="AP32" i="12"/>
  <c r="AO32" i="12"/>
  <c r="AB32" i="12" s="1"/>
  <c r="AK32" i="12"/>
  <c r="U32" i="12"/>
  <c r="AR31" i="12"/>
  <c r="AT31" i="12" s="1"/>
  <c r="AQ31" i="12"/>
  <c r="AS31" i="12" s="1"/>
  <c r="AP31" i="12"/>
  <c r="AO31" i="12"/>
  <c r="AB31" i="12" s="1"/>
  <c r="AK31" i="12"/>
  <c r="U31" i="12"/>
  <c r="W31" i="12" s="1"/>
  <c r="AJ31" i="12" s="1"/>
  <c r="AR30" i="12"/>
  <c r="AT30" i="12" s="1"/>
  <c r="AQ30" i="12"/>
  <c r="AS30" i="12" s="1"/>
  <c r="AP30" i="12"/>
  <c r="AO30" i="12"/>
  <c r="AB30" i="12" s="1"/>
  <c r="AK30" i="12"/>
  <c r="U30" i="12"/>
  <c r="AR29" i="12"/>
  <c r="AT29" i="12" s="1"/>
  <c r="AQ29" i="12"/>
  <c r="AS29" i="12" s="1"/>
  <c r="AP29" i="12"/>
  <c r="AO29" i="12"/>
  <c r="AB29" i="12" s="1"/>
  <c r="AK29" i="12"/>
  <c r="U29" i="12"/>
  <c r="W29" i="12" s="1"/>
  <c r="AJ29" i="12" s="1"/>
  <c r="AR28" i="12"/>
  <c r="AT28" i="12" s="1"/>
  <c r="AQ28" i="12"/>
  <c r="AS28" i="12" s="1"/>
  <c r="AP28" i="12"/>
  <c r="AO28" i="12"/>
  <c r="AB28" i="12" s="1"/>
  <c r="AK28" i="12"/>
  <c r="U28" i="12"/>
  <c r="AR27" i="12"/>
  <c r="AT27" i="12" s="1"/>
  <c r="AQ27" i="12"/>
  <c r="AS27" i="12" s="1"/>
  <c r="AP27" i="12"/>
  <c r="AO27" i="12"/>
  <c r="AB27" i="12" s="1"/>
  <c r="AK27" i="12"/>
  <c r="U27" i="12"/>
  <c r="W27" i="12" s="1"/>
  <c r="AJ27" i="12" s="1"/>
  <c r="AR26" i="12"/>
  <c r="AT26" i="12" s="1"/>
  <c r="AQ26" i="12"/>
  <c r="AS26" i="12" s="1"/>
  <c r="AP26" i="12"/>
  <c r="AO26" i="12"/>
  <c r="AB26" i="12" s="1"/>
  <c r="AK26" i="12"/>
  <c r="U26" i="12"/>
  <c r="AR25" i="12"/>
  <c r="AT25" i="12" s="1"/>
  <c r="AQ25" i="12"/>
  <c r="AS25" i="12" s="1"/>
  <c r="AP25" i="12"/>
  <c r="AO25" i="12"/>
  <c r="AB25" i="12" s="1"/>
  <c r="AK25" i="12"/>
  <c r="U25" i="12"/>
  <c r="W25" i="12" s="1"/>
  <c r="AJ25" i="12" s="1"/>
  <c r="AR24" i="12"/>
  <c r="AT24" i="12" s="1"/>
  <c r="AQ24" i="12"/>
  <c r="AS24" i="12" s="1"/>
  <c r="AP24" i="12"/>
  <c r="AO24" i="12"/>
  <c r="AB24" i="12" s="1"/>
  <c r="AK24" i="12"/>
  <c r="U24" i="12"/>
  <c r="AR23" i="12"/>
  <c r="AT23" i="12" s="1"/>
  <c r="AQ23" i="12"/>
  <c r="AS23" i="12" s="1"/>
  <c r="AP23" i="12"/>
  <c r="AO23" i="12"/>
  <c r="AB23" i="12" s="1"/>
  <c r="AK23" i="12"/>
  <c r="U23" i="12"/>
  <c r="W23" i="12" s="1"/>
  <c r="AJ23" i="12" s="1"/>
  <c r="AR22" i="12"/>
  <c r="AT22" i="12" s="1"/>
  <c r="AQ22" i="12"/>
  <c r="AS22" i="12" s="1"/>
  <c r="AP22" i="12"/>
  <c r="AO22" i="12"/>
  <c r="AK22" i="12"/>
  <c r="U22" i="12"/>
  <c r="AR21" i="12"/>
  <c r="AT21" i="12" s="1"/>
  <c r="AQ21" i="12"/>
  <c r="AS21" i="12" s="1"/>
  <c r="AP21" i="12"/>
  <c r="AO21" i="12"/>
  <c r="AB21" i="12" s="1"/>
  <c r="AK21" i="12"/>
  <c r="AJ21" i="12"/>
  <c r="AR20" i="12"/>
  <c r="AT20" i="12" s="1"/>
  <c r="AQ20" i="12"/>
  <c r="AS20" i="12" s="1"/>
  <c r="AP20" i="12"/>
  <c r="AO20" i="12"/>
  <c r="AK20" i="12"/>
  <c r="AR19" i="12"/>
  <c r="AT19" i="12" s="1"/>
  <c r="AQ19" i="12"/>
  <c r="AS19" i="12" s="1"/>
  <c r="AP19" i="12"/>
  <c r="AO19" i="12"/>
  <c r="AK19" i="12"/>
  <c r="U19" i="12"/>
  <c r="W19" i="12" s="1"/>
  <c r="AJ19" i="12" s="1"/>
  <c r="AR18" i="12"/>
  <c r="AT18" i="12" s="1"/>
  <c r="AQ18" i="12"/>
  <c r="AS18" i="12" s="1"/>
  <c r="AP18" i="12"/>
  <c r="AO18" i="12"/>
  <c r="AK18" i="12"/>
  <c r="U18" i="12"/>
  <c r="W18" i="12" s="1"/>
  <c r="AR17" i="12"/>
  <c r="AT17" i="12" s="1"/>
  <c r="AQ17" i="12"/>
  <c r="AS17" i="12" s="1"/>
  <c r="AP17" i="12"/>
  <c r="AO17" i="12"/>
  <c r="AK17" i="12"/>
  <c r="U17" i="12"/>
  <c r="W17" i="12" s="1"/>
  <c r="AJ17" i="12" s="1"/>
  <c r="AR16" i="12"/>
  <c r="AT16" i="12" s="1"/>
  <c r="AQ16" i="12"/>
  <c r="AS16" i="12" s="1"/>
  <c r="AP16" i="12"/>
  <c r="AO16" i="12"/>
  <c r="AB16" i="12" s="1"/>
  <c r="AK16" i="12"/>
  <c r="U16" i="12"/>
  <c r="W16" i="12" s="1"/>
  <c r="AR15" i="12"/>
  <c r="AT15" i="12" s="1"/>
  <c r="AQ15" i="12"/>
  <c r="AS15" i="12" s="1"/>
  <c r="AP15" i="12"/>
  <c r="AO15" i="12"/>
  <c r="AK15" i="12"/>
  <c r="U15" i="12"/>
  <c r="AR14" i="12"/>
  <c r="AT14" i="12" s="1"/>
  <c r="AQ14" i="12"/>
  <c r="AS14" i="12" s="1"/>
  <c r="AP14" i="12"/>
  <c r="AO14" i="12"/>
  <c r="AB14" i="12" s="1"/>
  <c r="AK14" i="12"/>
  <c r="U14" i="12"/>
  <c r="AR13" i="12"/>
  <c r="AT13" i="12" s="1"/>
  <c r="AQ13" i="12"/>
  <c r="AS13" i="12" s="1"/>
  <c r="AP13" i="12"/>
  <c r="AO13" i="12"/>
  <c r="AK13" i="12"/>
  <c r="U13" i="12"/>
  <c r="AR12" i="12"/>
  <c r="AT12" i="12" s="1"/>
  <c r="AQ12" i="12"/>
  <c r="AS12" i="12" s="1"/>
  <c r="AP12" i="12"/>
  <c r="AO12" i="12"/>
  <c r="AK12" i="12"/>
  <c r="U12" i="12"/>
  <c r="AR11" i="12"/>
  <c r="AT11" i="12" s="1"/>
  <c r="AQ11" i="12"/>
  <c r="AS11" i="12" s="1"/>
  <c r="AP11" i="12"/>
  <c r="AO11" i="12"/>
  <c r="AB11" i="12" s="1"/>
  <c r="AK11" i="12"/>
  <c r="U11" i="12"/>
  <c r="AR10" i="12"/>
  <c r="AT10" i="12" s="1"/>
  <c r="AQ10" i="12"/>
  <c r="AS10" i="12" s="1"/>
  <c r="AP10" i="12"/>
  <c r="AO10" i="12"/>
  <c r="AK10" i="12"/>
  <c r="U10" i="12"/>
  <c r="AR9" i="12"/>
  <c r="AT9" i="12" s="1"/>
  <c r="AQ9" i="12"/>
  <c r="AS9" i="12" s="1"/>
  <c r="AP9" i="12"/>
  <c r="AO9" i="12"/>
  <c r="AK9" i="12"/>
  <c r="U9" i="12"/>
  <c r="AR8" i="12"/>
  <c r="AT8" i="12" s="1"/>
  <c r="AQ8" i="12"/>
  <c r="AS8" i="12" s="1"/>
  <c r="AP8" i="12"/>
  <c r="AO8" i="12"/>
  <c r="AB8" i="12" s="1"/>
  <c r="AK8" i="12"/>
  <c r="U8" i="12"/>
  <c r="AR7" i="12"/>
  <c r="AT7" i="12" s="1"/>
  <c r="AQ7" i="12"/>
  <c r="AS7" i="12" s="1"/>
  <c r="AP7" i="12"/>
  <c r="AO7" i="12"/>
  <c r="AK7" i="12"/>
  <c r="U7" i="12"/>
  <c r="AR6" i="12"/>
  <c r="AT6" i="12" s="1"/>
  <c r="AQ6" i="12"/>
  <c r="AS6" i="12" s="1"/>
  <c r="AP6" i="12"/>
  <c r="AO6" i="12"/>
  <c r="AB6" i="12" s="1"/>
  <c r="AK6" i="12"/>
  <c r="U6" i="12"/>
  <c r="B17" i="11"/>
  <c r="J17" i="11" s="1"/>
  <c r="E43" i="11"/>
  <c r="AL6" i="5"/>
  <c r="AM6" i="5"/>
  <c r="AN6" i="5"/>
  <c r="AL7" i="5"/>
  <c r="AM7" i="5"/>
  <c r="AN7" i="5"/>
  <c r="AL8" i="5"/>
  <c r="AM8" i="5"/>
  <c r="AN8" i="5"/>
  <c r="AL9" i="5"/>
  <c r="AM9" i="5"/>
  <c r="AN9" i="5"/>
  <c r="AL10" i="5"/>
  <c r="AM10" i="5"/>
  <c r="AN10" i="5"/>
  <c r="AL11" i="5"/>
  <c r="AM11" i="5"/>
  <c r="AN11" i="5"/>
  <c r="AL12" i="5"/>
  <c r="AM12" i="5"/>
  <c r="AN12" i="5"/>
  <c r="AL13" i="5"/>
  <c r="AM13" i="5"/>
  <c r="AN13" i="5"/>
  <c r="AL14" i="5"/>
  <c r="AM14" i="5"/>
  <c r="AN14" i="5"/>
  <c r="AL15" i="5"/>
  <c r="AM15" i="5"/>
  <c r="AN15" i="5"/>
  <c r="AL16" i="5"/>
  <c r="AM16" i="5"/>
  <c r="AN16" i="5"/>
  <c r="AL17" i="5"/>
  <c r="AM17" i="5"/>
  <c r="AN17" i="5"/>
  <c r="AL18" i="5"/>
  <c r="AM18" i="5"/>
  <c r="AN18" i="5"/>
  <c r="AL19" i="5"/>
  <c r="AM19" i="5"/>
  <c r="AN19" i="5"/>
  <c r="AL20" i="5"/>
  <c r="AM20" i="5"/>
  <c r="AN20" i="5"/>
  <c r="AL21" i="5"/>
  <c r="AM21" i="5"/>
  <c r="AN21" i="5"/>
  <c r="AL22" i="5"/>
  <c r="AM22" i="5"/>
  <c r="AN22" i="5"/>
  <c r="AL23" i="5"/>
  <c r="AM23" i="5"/>
  <c r="AN23" i="5"/>
  <c r="AL24" i="5"/>
  <c r="AM24" i="5"/>
  <c r="AN24" i="5"/>
  <c r="AL25" i="5"/>
  <c r="AM25" i="5"/>
  <c r="AN25" i="5"/>
  <c r="AL26" i="5"/>
  <c r="AM26" i="5"/>
  <c r="AN26" i="5"/>
  <c r="AL27" i="5"/>
  <c r="AM27" i="5"/>
  <c r="AN27" i="5"/>
  <c r="AL28" i="5"/>
  <c r="AM28" i="5"/>
  <c r="AN28" i="5"/>
  <c r="AL29" i="5"/>
  <c r="AM29" i="5"/>
  <c r="AN29" i="5"/>
  <c r="AL30" i="5"/>
  <c r="AM30" i="5"/>
  <c r="AN30" i="5"/>
  <c r="AL31" i="5"/>
  <c r="AM31" i="5"/>
  <c r="AN31" i="5"/>
  <c r="AL32" i="5"/>
  <c r="AM32" i="5"/>
  <c r="AN32" i="5"/>
  <c r="AL33" i="5"/>
  <c r="AM33" i="5"/>
  <c r="AN33" i="5"/>
  <c r="AL34" i="5"/>
  <c r="AM34" i="5"/>
  <c r="AN34" i="5"/>
  <c r="AL35" i="5"/>
  <c r="AM35" i="5"/>
  <c r="AN35" i="5"/>
  <c r="AL36" i="5"/>
  <c r="AM36" i="5"/>
  <c r="AN36" i="5"/>
  <c r="AL37" i="5"/>
  <c r="AM37" i="5"/>
  <c r="AN37" i="5"/>
  <c r="AL38" i="5"/>
  <c r="AM38" i="5"/>
  <c r="AN38" i="5"/>
  <c r="AL39" i="5"/>
  <c r="AM39" i="5"/>
  <c r="AN39" i="5"/>
  <c r="AL40" i="5"/>
  <c r="AM40" i="5"/>
  <c r="AN40" i="5"/>
  <c r="AL41" i="5"/>
  <c r="AM41" i="5"/>
  <c r="AN41" i="5"/>
  <c r="AL42" i="5"/>
  <c r="AM42" i="5"/>
  <c r="AN42" i="5"/>
  <c r="AL43" i="5"/>
  <c r="AM43" i="5"/>
  <c r="AN43" i="5"/>
  <c r="AL44" i="5"/>
  <c r="AM44" i="5"/>
  <c r="AN44" i="5"/>
  <c r="AL45" i="5"/>
  <c r="AM45" i="5"/>
  <c r="AN45" i="5"/>
  <c r="AL46" i="5"/>
  <c r="AM46" i="5"/>
  <c r="AN46" i="5"/>
  <c r="AL47" i="5"/>
  <c r="AM47" i="5"/>
  <c r="AN47" i="5"/>
  <c r="AL48" i="5"/>
  <c r="AM48" i="5"/>
  <c r="AN48" i="5"/>
  <c r="AL49" i="5"/>
  <c r="AM49" i="5"/>
  <c r="AN49" i="5"/>
  <c r="AL50" i="5"/>
  <c r="AM50" i="5"/>
  <c r="AN50" i="5"/>
  <c r="AL51" i="5"/>
  <c r="AM51" i="5"/>
  <c r="AN51" i="5"/>
  <c r="AL52" i="5"/>
  <c r="AM52" i="5"/>
  <c r="AN52" i="5"/>
  <c r="AL53" i="5"/>
  <c r="AM53" i="5"/>
  <c r="AN53" i="5"/>
  <c r="AL54" i="5"/>
  <c r="AM54" i="5"/>
  <c r="AN54" i="5"/>
  <c r="AL55" i="5"/>
  <c r="AM55" i="5"/>
  <c r="AN55" i="5"/>
  <c r="AL56" i="5"/>
  <c r="AM56" i="5"/>
  <c r="AN56" i="5"/>
  <c r="AL57" i="5"/>
  <c r="AM57" i="5"/>
  <c r="AN57" i="5"/>
  <c r="AL58" i="5"/>
  <c r="AM58" i="5"/>
  <c r="AN58" i="5"/>
  <c r="AL59" i="5"/>
  <c r="AM59" i="5"/>
  <c r="AN59" i="5"/>
  <c r="AL60" i="5"/>
  <c r="AM60" i="5"/>
  <c r="AN60" i="5"/>
  <c r="AL61" i="5"/>
  <c r="AM61" i="5"/>
  <c r="AN61" i="5"/>
  <c r="AL62" i="5"/>
  <c r="AM62" i="5"/>
  <c r="AN62" i="5"/>
  <c r="AL63" i="5"/>
  <c r="AM63" i="5"/>
  <c r="AN63" i="5"/>
  <c r="AL64" i="5"/>
  <c r="AM64" i="5"/>
  <c r="AN64" i="5"/>
  <c r="AL65" i="5"/>
  <c r="AM65" i="5"/>
  <c r="AN65" i="5"/>
  <c r="AL66" i="5"/>
  <c r="AM66" i="5"/>
  <c r="AN66" i="5"/>
  <c r="AL67" i="5"/>
  <c r="AM67" i="5"/>
  <c r="AN67" i="5"/>
  <c r="AL68" i="5"/>
  <c r="AM68" i="5"/>
  <c r="AN68" i="5"/>
  <c r="AL69" i="5"/>
  <c r="AM69" i="5"/>
  <c r="AN69" i="5"/>
  <c r="AL70" i="5"/>
  <c r="AM70" i="5"/>
  <c r="AN70" i="5"/>
  <c r="AL71" i="5"/>
  <c r="AM71" i="5"/>
  <c r="AN71" i="5"/>
  <c r="AL72" i="5"/>
  <c r="AM72" i="5"/>
  <c r="AN72" i="5"/>
  <c r="AL73" i="5"/>
  <c r="AM73" i="5"/>
  <c r="AN73" i="5"/>
  <c r="AL74" i="5"/>
  <c r="AM74" i="5"/>
  <c r="AN74" i="5"/>
  <c r="AL75" i="5"/>
  <c r="AM75" i="5"/>
  <c r="AN75" i="5"/>
  <c r="AL76" i="5"/>
  <c r="AM76" i="5"/>
  <c r="AN76" i="5"/>
  <c r="AL77" i="5"/>
  <c r="AM77" i="5"/>
  <c r="AN77" i="5"/>
  <c r="AL78" i="5"/>
  <c r="AM78" i="5"/>
  <c r="AN78" i="5"/>
  <c r="AL79" i="5"/>
  <c r="AM79" i="5"/>
  <c r="AN79" i="5"/>
  <c r="AL80" i="5"/>
  <c r="AM80" i="5"/>
  <c r="AN80" i="5"/>
  <c r="AL81" i="5"/>
  <c r="AM81" i="5"/>
  <c r="AN81" i="5"/>
  <c r="AL82" i="5"/>
  <c r="AM82" i="5"/>
  <c r="AN82" i="5"/>
  <c r="AL83" i="5"/>
  <c r="AM83" i="5"/>
  <c r="AN83" i="5"/>
  <c r="AL84" i="5"/>
  <c r="AM84" i="5"/>
  <c r="AN84" i="5"/>
  <c r="AL85" i="5"/>
  <c r="AM85" i="5"/>
  <c r="AN85" i="5"/>
  <c r="AL86" i="5"/>
  <c r="AM86" i="5"/>
  <c r="AN86" i="5"/>
  <c r="AL87" i="5"/>
  <c r="AM87" i="5"/>
  <c r="AN87" i="5"/>
  <c r="AL88" i="5"/>
  <c r="AM88" i="5"/>
  <c r="AN88" i="5"/>
  <c r="AL89" i="5"/>
  <c r="AM89" i="5"/>
  <c r="AN89" i="5"/>
  <c r="AL90" i="5"/>
  <c r="AM90" i="5"/>
  <c r="AN90" i="5"/>
  <c r="AL91" i="5"/>
  <c r="AM91" i="5"/>
  <c r="AN91" i="5"/>
  <c r="AL92" i="5"/>
  <c r="AM92" i="5"/>
  <c r="AN92" i="5"/>
  <c r="AL93" i="5"/>
  <c r="AM93" i="5"/>
  <c r="AN93" i="5"/>
  <c r="AL94" i="5"/>
  <c r="AM94" i="5"/>
  <c r="AN94" i="5"/>
  <c r="AL95" i="5"/>
  <c r="AM95" i="5"/>
  <c r="AN95" i="5"/>
  <c r="AL96" i="5"/>
  <c r="AM96" i="5"/>
  <c r="AN96" i="5"/>
  <c r="AL97" i="5"/>
  <c r="AM97" i="5"/>
  <c r="AN97" i="5"/>
  <c r="AL98" i="5"/>
  <c r="AM98" i="5"/>
  <c r="AN98" i="5"/>
  <c r="AL99" i="5"/>
  <c r="AM99" i="5"/>
  <c r="AN99" i="5"/>
  <c r="AL100" i="5"/>
  <c r="AM100" i="5"/>
  <c r="AN100" i="5"/>
  <c r="AL101" i="5"/>
  <c r="AM101" i="5"/>
  <c r="AN101" i="5"/>
  <c r="AL102" i="5"/>
  <c r="AM102" i="5"/>
  <c r="AN102" i="5"/>
  <c r="AL103" i="5"/>
  <c r="AM103" i="5"/>
  <c r="AN103" i="5"/>
  <c r="AL104" i="5"/>
  <c r="AM104" i="5"/>
  <c r="AN104" i="5"/>
  <c r="AL105" i="5"/>
  <c r="AM105" i="5"/>
  <c r="AN105" i="5"/>
  <c r="AL106" i="5"/>
  <c r="AM106" i="5"/>
  <c r="AN106" i="5"/>
  <c r="AL107" i="5"/>
  <c r="AM107" i="5"/>
  <c r="AN107" i="5"/>
  <c r="AL108" i="5"/>
  <c r="AM108" i="5"/>
  <c r="AN108" i="5"/>
  <c r="AL109" i="5"/>
  <c r="AM109" i="5"/>
  <c r="AN109" i="5"/>
  <c r="AL110" i="5"/>
  <c r="AM110" i="5"/>
  <c r="AN110" i="5"/>
  <c r="AL111" i="5"/>
  <c r="AM111" i="5"/>
  <c r="AN111" i="5"/>
  <c r="AL112" i="5"/>
  <c r="AM112" i="5"/>
  <c r="AN112" i="5"/>
  <c r="AL113" i="5"/>
  <c r="AM113" i="5"/>
  <c r="AN113" i="5"/>
  <c r="AL114" i="5"/>
  <c r="AM114" i="5"/>
  <c r="AN114" i="5"/>
  <c r="AL115" i="5"/>
  <c r="AM115" i="5"/>
  <c r="AN115" i="5"/>
  <c r="AL116" i="5"/>
  <c r="AM116" i="5"/>
  <c r="AN116" i="5"/>
  <c r="AL117" i="5"/>
  <c r="AM117" i="5"/>
  <c r="AN117" i="5"/>
  <c r="AL118" i="5"/>
  <c r="AM118" i="5"/>
  <c r="AN118" i="5"/>
  <c r="AL119" i="5"/>
  <c r="AM119" i="5"/>
  <c r="AN119" i="5"/>
  <c r="AL120" i="5"/>
  <c r="AM120" i="5"/>
  <c r="AN120" i="5"/>
  <c r="AL121" i="5"/>
  <c r="AM121" i="5"/>
  <c r="AN121" i="5"/>
  <c r="AL122" i="5"/>
  <c r="AM122" i="5"/>
  <c r="AN122" i="5"/>
  <c r="AL123" i="5"/>
  <c r="AM123" i="5"/>
  <c r="AN123" i="5"/>
  <c r="AL124" i="5"/>
  <c r="AM124" i="5"/>
  <c r="AN124" i="5"/>
  <c r="AL125" i="5"/>
  <c r="AM125" i="5"/>
  <c r="AN125" i="5"/>
  <c r="AL126" i="5"/>
  <c r="AM126" i="5"/>
  <c r="AN126" i="5"/>
  <c r="AL127" i="5"/>
  <c r="AM127" i="5"/>
  <c r="AN127" i="5"/>
  <c r="AL128" i="5"/>
  <c r="AM128" i="5"/>
  <c r="AN128" i="5"/>
  <c r="AL129" i="5"/>
  <c r="AM129" i="5"/>
  <c r="AN129" i="5"/>
  <c r="AL130" i="5"/>
  <c r="AM130" i="5"/>
  <c r="AN130" i="5"/>
  <c r="AL131" i="5"/>
  <c r="AM131" i="5"/>
  <c r="AN131" i="5"/>
  <c r="AL132" i="5"/>
  <c r="AM132" i="5"/>
  <c r="AN132" i="5"/>
  <c r="AL133" i="5"/>
  <c r="AM133" i="5"/>
  <c r="AN133" i="5"/>
  <c r="AL134" i="5"/>
  <c r="AM134" i="5"/>
  <c r="AN134" i="5"/>
  <c r="AL135" i="5"/>
  <c r="AM135" i="5"/>
  <c r="AN135" i="5"/>
  <c r="AL136" i="5"/>
  <c r="AM136" i="5"/>
  <c r="AN136" i="5"/>
  <c r="AL137" i="5"/>
  <c r="AM137" i="5"/>
  <c r="AN137" i="5"/>
  <c r="AL138" i="5"/>
  <c r="AM138" i="5"/>
  <c r="AN138" i="5"/>
  <c r="AM5" i="5"/>
  <c r="AN5" i="5"/>
  <c r="AL5" i="5"/>
  <c r="D50" i="11"/>
  <c r="D43" i="11"/>
  <c r="C37" i="11"/>
  <c r="BG5" i="5"/>
  <c r="BG6" i="5"/>
  <c r="BG7" i="5"/>
  <c r="BG8" i="5"/>
  <c r="BG9" i="5"/>
  <c r="BG10" i="5"/>
  <c r="BG11" i="5"/>
  <c r="BG12" i="5"/>
  <c r="BG13" i="5"/>
  <c r="BG14" i="5"/>
  <c r="BG15" i="5"/>
  <c r="BG16" i="5"/>
  <c r="BG17" i="5"/>
  <c r="BG18" i="5"/>
  <c r="BG19" i="5"/>
  <c r="BG20" i="5"/>
  <c r="BG21" i="5"/>
  <c r="BG22" i="5"/>
  <c r="BG23" i="5"/>
  <c r="BG24" i="5"/>
  <c r="BG25" i="5"/>
  <c r="BG26" i="5"/>
  <c r="BG27" i="5"/>
  <c r="BG28" i="5"/>
  <c r="BG29" i="5"/>
  <c r="BG30" i="5"/>
  <c r="BG31" i="5"/>
  <c r="BG32" i="5"/>
  <c r="BG33" i="5"/>
  <c r="BG34" i="5"/>
  <c r="BG35" i="5"/>
  <c r="BG36" i="5"/>
  <c r="BG37" i="5"/>
  <c r="BG38" i="5"/>
  <c r="BG39" i="5"/>
  <c r="BG40" i="5"/>
  <c r="BG41" i="5"/>
  <c r="BG42" i="5"/>
  <c r="BG43" i="5"/>
  <c r="BG44" i="5"/>
  <c r="BG45" i="5"/>
  <c r="BG46" i="5"/>
  <c r="BG47" i="5"/>
  <c r="BG48" i="5"/>
  <c r="BG49" i="5"/>
  <c r="BG50" i="5"/>
  <c r="BG51" i="5"/>
  <c r="BG52" i="5"/>
  <c r="BG53" i="5"/>
  <c r="BG54" i="5"/>
  <c r="BG55" i="5"/>
  <c r="BG56" i="5"/>
  <c r="BG57" i="5"/>
  <c r="BG58" i="5"/>
  <c r="BG59" i="5"/>
  <c r="BG60" i="5"/>
  <c r="BG61" i="5"/>
  <c r="BG62" i="5"/>
  <c r="BG63" i="5"/>
  <c r="BG64" i="5"/>
  <c r="BG65" i="5"/>
  <c r="BG66" i="5"/>
  <c r="BG67" i="5"/>
  <c r="BG68" i="5"/>
  <c r="BG69" i="5"/>
  <c r="BG70" i="5"/>
  <c r="BG71" i="5"/>
  <c r="BG72" i="5"/>
  <c r="BG73" i="5"/>
  <c r="BG74" i="5"/>
  <c r="BG75" i="5"/>
  <c r="BG76" i="5"/>
  <c r="BG77" i="5"/>
  <c r="BG78" i="5"/>
  <c r="BG79" i="5"/>
  <c r="BG80" i="5"/>
  <c r="BG81" i="5"/>
  <c r="BG82" i="5"/>
  <c r="BG83" i="5"/>
  <c r="BG84" i="5"/>
  <c r="BG85" i="5"/>
  <c r="BG86" i="5"/>
  <c r="BG87" i="5"/>
  <c r="BG88" i="5"/>
  <c r="BG89" i="5"/>
  <c r="BG90" i="5"/>
  <c r="BG91" i="5"/>
  <c r="BG92" i="5"/>
  <c r="BG93" i="5"/>
  <c r="BG94" i="5"/>
  <c r="BG95" i="5"/>
  <c r="BG96" i="5"/>
  <c r="BG97" i="5"/>
  <c r="BG98" i="5"/>
  <c r="BG99" i="5"/>
  <c r="BG100" i="5"/>
  <c r="BG101" i="5"/>
  <c r="BG102" i="5"/>
  <c r="BG103" i="5"/>
  <c r="BG104" i="5"/>
  <c r="BG105" i="5"/>
  <c r="BG106" i="5"/>
  <c r="BG107" i="5"/>
  <c r="BG108" i="5"/>
  <c r="BG109" i="5"/>
  <c r="BG110" i="5"/>
  <c r="BG111" i="5"/>
  <c r="BG112" i="5"/>
  <c r="BG113" i="5"/>
  <c r="BG114" i="5"/>
  <c r="BG115" i="5"/>
  <c r="BG116" i="5"/>
  <c r="BG117" i="5"/>
  <c r="BG118" i="5"/>
  <c r="BG119" i="5"/>
  <c r="BG120" i="5"/>
  <c r="BG121" i="5"/>
  <c r="BG122" i="5"/>
  <c r="BG123" i="5"/>
  <c r="BG124" i="5"/>
  <c r="BG125" i="5"/>
  <c r="BG126" i="5"/>
  <c r="BG127" i="5"/>
  <c r="BG128" i="5"/>
  <c r="BG129" i="5"/>
  <c r="BG130" i="5"/>
  <c r="BG131" i="5"/>
  <c r="BG132" i="5"/>
  <c r="BG133" i="5"/>
  <c r="BG134" i="5"/>
  <c r="BG135" i="5"/>
  <c r="BG136" i="5"/>
  <c r="BG137" i="5"/>
  <c r="BG138" i="5"/>
  <c r="BG139" i="5"/>
  <c r="BG140" i="5"/>
  <c r="BG141" i="5"/>
  <c r="BG142" i="5"/>
  <c r="BG143" i="5"/>
  <c r="BG144" i="5"/>
  <c r="BG145" i="5"/>
  <c r="BG146" i="5"/>
  <c r="BG147" i="5"/>
  <c r="BG148" i="5"/>
  <c r="BG149" i="5"/>
  <c r="BG150" i="5"/>
  <c r="BG151" i="5"/>
  <c r="BG152" i="5"/>
  <c r="BG153" i="5"/>
  <c r="BG154" i="5"/>
  <c r="BG155" i="5"/>
  <c r="BG156" i="5"/>
  <c r="BG157" i="5"/>
  <c r="BG158" i="5"/>
  <c r="BG159" i="5"/>
  <c r="BG160" i="5"/>
  <c r="BG161" i="5"/>
  <c r="BG162" i="5"/>
  <c r="BG163" i="5"/>
  <c r="BG164" i="5"/>
  <c r="BG165" i="5"/>
  <c r="BG166" i="5"/>
  <c r="BG167" i="5"/>
  <c r="BG168" i="5"/>
  <c r="BG169" i="5"/>
  <c r="BG170" i="5"/>
  <c r="BG171" i="5"/>
  <c r="BG172" i="5"/>
  <c r="BG173" i="5"/>
  <c r="BG174" i="5"/>
  <c r="BG175" i="5"/>
  <c r="BG176" i="5"/>
  <c r="BG177" i="5"/>
  <c r="BG178" i="5"/>
  <c r="BG179" i="5"/>
  <c r="BG180" i="5"/>
  <c r="BG181" i="5"/>
  <c r="BG182" i="5"/>
  <c r="BG183" i="5"/>
  <c r="BG184" i="5"/>
  <c r="BG185" i="5"/>
  <c r="BG186" i="5"/>
  <c r="BG187" i="5"/>
  <c r="BG188" i="5"/>
  <c r="BG189" i="5"/>
  <c r="BG190" i="5"/>
  <c r="BG191" i="5"/>
  <c r="BG192" i="5"/>
  <c r="BG193" i="5"/>
  <c r="BG194" i="5"/>
  <c r="BG195" i="5"/>
  <c r="BG196" i="5"/>
  <c r="BG197" i="5"/>
  <c r="BG198" i="5"/>
  <c r="BG199" i="5"/>
  <c r="BG200" i="5"/>
  <c r="BG201" i="5"/>
  <c r="BG202" i="5"/>
  <c r="BG203" i="5"/>
  <c r="BG204" i="5"/>
  <c r="BG205" i="5"/>
  <c r="BG206" i="5"/>
  <c r="BG207" i="5"/>
  <c r="BG208" i="5"/>
  <c r="BG209" i="5"/>
  <c r="BG210" i="5"/>
  <c r="BG211" i="5"/>
  <c r="BG212" i="5"/>
  <c r="BG213" i="5"/>
  <c r="BG214" i="5"/>
  <c r="BG215" i="5"/>
  <c r="BG216" i="5"/>
  <c r="BG217" i="5"/>
  <c r="BG218" i="5"/>
  <c r="BG219" i="5"/>
  <c r="BG220" i="5"/>
  <c r="BG221" i="5"/>
  <c r="BG222" i="5"/>
  <c r="BG223" i="5"/>
  <c r="BG224" i="5"/>
  <c r="BG225" i="5"/>
  <c r="BG226" i="5"/>
  <c r="BG227" i="5"/>
  <c r="BG228" i="5"/>
  <c r="BG229" i="5"/>
  <c r="BG230" i="5"/>
  <c r="BG231" i="5"/>
  <c r="BG232" i="5"/>
  <c r="BG233" i="5"/>
  <c r="BG234" i="5"/>
  <c r="BG235" i="5"/>
  <c r="BG236" i="5"/>
  <c r="BG237" i="5"/>
  <c r="BG238" i="5"/>
  <c r="BG239" i="5"/>
  <c r="BG240" i="5"/>
  <c r="BG241" i="5"/>
  <c r="BG242" i="5"/>
  <c r="BG243" i="5"/>
  <c r="BG244" i="5"/>
  <c r="BG245" i="5"/>
  <c r="BG246" i="5"/>
  <c r="BG247" i="5"/>
  <c r="BG248" i="5"/>
  <c r="BG249" i="5"/>
  <c r="BG250" i="5"/>
  <c r="BG251" i="5"/>
  <c r="BG252" i="5"/>
  <c r="BG253" i="5"/>
  <c r="BG254" i="5"/>
  <c r="BG255" i="5"/>
  <c r="BG256" i="5"/>
  <c r="BG257" i="5"/>
  <c r="BG258" i="5"/>
  <c r="BG259" i="5"/>
  <c r="BG260" i="5"/>
  <c r="BG261" i="5"/>
  <c r="BG262" i="5"/>
  <c r="BG263" i="5"/>
  <c r="BG264" i="5"/>
  <c r="BG265" i="5"/>
  <c r="BG266" i="5"/>
  <c r="BG267" i="5"/>
  <c r="BG268" i="5"/>
  <c r="BG269" i="5"/>
  <c r="BG270" i="5"/>
  <c r="BG271" i="5"/>
  <c r="BG272" i="5"/>
  <c r="BG273" i="5"/>
  <c r="BG274" i="5"/>
  <c r="BG275" i="5"/>
  <c r="BG276" i="5"/>
  <c r="BG277" i="5"/>
  <c r="BG278" i="5"/>
  <c r="BG279" i="5"/>
  <c r="BG280" i="5"/>
  <c r="BG281" i="5"/>
  <c r="BG282" i="5"/>
  <c r="BG283" i="5"/>
  <c r="BG284" i="5"/>
  <c r="BG285" i="5"/>
  <c r="BG286" i="5"/>
  <c r="BG287" i="5"/>
  <c r="BG288" i="5"/>
  <c r="BG289" i="5"/>
  <c r="BG290" i="5"/>
  <c r="BG291" i="5"/>
  <c r="BG292" i="5"/>
  <c r="BG293" i="5"/>
  <c r="BG294" i="5"/>
  <c r="BG295" i="5"/>
  <c r="BG296" i="5"/>
  <c r="BG297" i="5"/>
  <c r="BG298" i="5"/>
  <c r="BG299" i="5"/>
  <c r="BG300" i="5"/>
  <c r="BG301" i="5"/>
  <c r="BG302" i="5"/>
  <c r="BG303" i="5"/>
  <c r="BG304" i="5"/>
  <c r="J18" i="11"/>
  <c r="J5" i="11"/>
  <c r="B4" i="11"/>
  <c r="J4" i="11" s="1"/>
  <c r="AB7" i="12" l="1"/>
  <c r="AD7" i="12" s="1"/>
  <c r="AB6" i="13"/>
  <c r="AC6" i="13" s="1"/>
  <c r="X6" i="13" s="1"/>
  <c r="AI6" i="13"/>
  <c r="AL6" i="13" s="1"/>
  <c r="AB20" i="12"/>
  <c r="AC20" i="12" s="1"/>
  <c r="X20" i="12" s="1"/>
  <c r="AB22" i="12"/>
  <c r="AC22" i="12" s="1"/>
  <c r="X22" i="12" s="1"/>
  <c r="V8" i="6"/>
  <c r="V9" i="6" s="1"/>
  <c r="V10" i="6" s="1"/>
  <c r="V11" i="6" s="1"/>
  <c r="V12" i="6" s="1"/>
  <c r="AB9" i="13"/>
  <c r="Z8" i="6"/>
  <c r="Z9" i="6" s="1"/>
  <c r="Z10" i="6" s="1"/>
  <c r="Z11" i="6" s="1"/>
  <c r="Z12" i="6" s="1"/>
  <c r="AB13" i="13"/>
  <c r="U8" i="6"/>
  <c r="U9" i="6" s="1"/>
  <c r="U10" i="6" s="1"/>
  <c r="U11" i="6" s="1"/>
  <c r="U12" i="6" s="1"/>
  <c r="AB7" i="13"/>
  <c r="AF6" i="6"/>
  <c r="AF7" i="6" s="1"/>
  <c r="AF8" i="6" s="1"/>
  <c r="AF9" i="6" s="1"/>
  <c r="AF10" i="6" s="1"/>
  <c r="AF11" i="6" s="1"/>
  <c r="AF12" i="6" s="1"/>
  <c r="AB24" i="13"/>
  <c r="AD6" i="6"/>
  <c r="AD7" i="6" s="1"/>
  <c r="AD8" i="6" s="1"/>
  <c r="AD9" i="6" s="1"/>
  <c r="AD10" i="6" s="1"/>
  <c r="AD11" i="6" s="1"/>
  <c r="AD12" i="6" s="1"/>
  <c r="AB22" i="13"/>
  <c r="AB8" i="6"/>
  <c r="AB9" i="6" s="1"/>
  <c r="AB10" i="6" s="1"/>
  <c r="AB11" i="6" s="1"/>
  <c r="AB12" i="6" s="1"/>
  <c r="AB15" i="13"/>
  <c r="X8" i="6"/>
  <c r="X9" i="6" s="1"/>
  <c r="X10" i="6" s="1"/>
  <c r="X11" i="6" s="1"/>
  <c r="X12" i="6" s="1"/>
  <c r="AB11" i="13"/>
  <c r="AB9" i="12"/>
  <c r="AB13" i="12"/>
  <c r="AC13" i="12" s="1"/>
  <c r="X13" i="12" s="1"/>
  <c r="AE6" i="6"/>
  <c r="AE7" i="6" s="1"/>
  <c r="AE8" i="6" s="1"/>
  <c r="AE9" i="6" s="1"/>
  <c r="AE10" i="6" s="1"/>
  <c r="AE11" i="6" s="1"/>
  <c r="AE12" i="6" s="1"/>
  <c r="AB23" i="13"/>
  <c r="AC6" i="6"/>
  <c r="AC7" i="6" s="1"/>
  <c r="AC8" i="6" s="1"/>
  <c r="AC9" i="6" s="1"/>
  <c r="AC10" i="6" s="1"/>
  <c r="AC11" i="6" s="1"/>
  <c r="AC12" i="6" s="1"/>
  <c r="AB16" i="13"/>
  <c r="W8" i="6"/>
  <c r="W9" i="6" s="1"/>
  <c r="W10" i="6" s="1"/>
  <c r="W11" i="6" s="1"/>
  <c r="W12" i="6" s="1"/>
  <c r="AB10" i="13"/>
  <c r="Y8" i="6"/>
  <c r="Y9" i="6" s="1"/>
  <c r="Y10" i="6" s="1"/>
  <c r="Y11" i="6" s="1"/>
  <c r="Y12" i="6" s="1"/>
  <c r="AB12" i="13"/>
  <c r="AA8" i="6"/>
  <c r="AA9" i="6" s="1"/>
  <c r="AA10" i="6" s="1"/>
  <c r="AA11" i="6" s="1"/>
  <c r="AA12" i="6" s="1"/>
  <c r="AB14" i="13"/>
  <c r="AD25" i="13"/>
  <c r="AN25" i="13"/>
  <c r="AG25" i="13" s="1"/>
  <c r="AL25" i="13"/>
  <c r="AN23" i="13"/>
  <c r="AG23" i="13" s="1"/>
  <c r="AL23" i="13"/>
  <c r="AN21" i="13"/>
  <c r="AG21" i="13" s="1"/>
  <c r="AL21" i="13"/>
  <c r="AN19" i="13"/>
  <c r="AG19" i="13" s="1"/>
  <c r="AL19" i="13"/>
  <c r="AN17" i="13"/>
  <c r="AG17" i="13" s="1"/>
  <c r="AL17" i="13"/>
  <c r="AN15" i="13"/>
  <c r="AG15" i="13" s="1"/>
  <c r="AL15" i="13"/>
  <c r="AN13" i="13"/>
  <c r="AG13" i="13" s="1"/>
  <c r="AL13" i="13"/>
  <c r="AL9" i="13"/>
  <c r="AN9" i="13"/>
  <c r="AG9" i="13" s="1"/>
  <c r="AL7" i="13"/>
  <c r="AN7" i="13"/>
  <c r="AG7" i="13" s="1"/>
  <c r="AN11" i="13"/>
  <c r="AG11" i="13" s="1"/>
  <c r="AL11" i="13"/>
  <c r="AN26" i="13"/>
  <c r="AG26" i="13" s="1"/>
  <c r="AL26" i="13"/>
  <c r="AN24" i="13"/>
  <c r="AG24" i="13" s="1"/>
  <c r="AL24" i="13"/>
  <c r="AN22" i="13"/>
  <c r="AG22" i="13" s="1"/>
  <c r="AL22" i="13"/>
  <c r="AN20" i="13"/>
  <c r="AG20" i="13" s="1"/>
  <c r="AL20" i="13"/>
  <c r="AN18" i="13"/>
  <c r="AG18" i="13" s="1"/>
  <c r="AL18" i="13"/>
  <c r="AN16" i="13"/>
  <c r="AG16" i="13" s="1"/>
  <c r="AL16" i="13"/>
  <c r="AN14" i="13"/>
  <c r="AG14" i="13" s="1"/>
  <c r="AL14" i="13"/>
  <c r="AN8" i="13"/>
  <c r="AG8" i="13" s="1"/>
  <c r="AL8" i="13"/>
  <c r="AN12" i="13"/>
  <c r="AG12" i="13" s="1"/>
  <c r="AL12" i="13"/>
  <c r="AN10" i="13"/>
  <c r="AG10" i="13" s="1"/>
  <c r="AL10" i="13"/>
  <c r="Y45" i="12"/>
  <c r="W9" i="12"/>
  <c r="AJ9" i="12" s="1"/>
  <c r="AB10" i="12"/>
  <c r="AB12" i="12"/>
  <c r="AB15" i="12"/>
  <c r="AC15" i="12" s="1"/>
  <c r="X15" i="12" s="1"/>
  <c r="Y40" i="12"/>
  <c r="Y42" i="12"/>
  <c r="Y44" i="12"/>
  <c r="W28" i="12"/>
  <c r="AJ28" i="12" s="1"/>
  <c r="W20" i="12"/>
  <c r="AJ20" i="12" s="1"/>
  <c r="W22" i="12"/>
  <c r="AI22" i="12" s="1"/>
  <c r="W24" i="12"/>
  <c r="AJ24" i="12" s="1"/>
  <c r="W26" i="12"/>
  <c r="AJ26" i="12" s="1"/>
  <c r="W30" i="12"/>
  <c r="AJ30" i="12" s="1"/>
  <c r="W32" i="12"/>
  <c r="AI32" i="12" s="1"/>
  <c r="W34" i="12"/>
  <c r="AJ34" i="12" s="1"/>
  <c r="AC16" i="12"/>
  <c r="X16" i="12" s="1"/>
  <c r="AC8" i="12"/>
  <c r="X8" i="12" s="1"/>
  <c r="W12" i="12"/>
  <c r="AI12" i="12" s="1"/>
  <c r="AN12" i="12" s="1"/>
  <c r="AG12" i="12" s="1"/>
  <c r="AC6" i="12"/>
  <c r="AD8" i="12"/>
  <c r="AC45" i="12"/>
  <c r="X45" i="12" s="1"/>
  <c r="AC43" i="12"/>
  <c r="X43" i="12" s="1"/>
  <c r="AC41" i="12"/>
  <c r="X41" i="12" s="1"/>
  <c r="AC39" i="12"/>
  <c r="X39" i="12" s="1"/>
  <c r="AC37" i="12"/>
  <c r="X37" i="12" s="1"/>
  <c r="AC35" i="12"/>
  <c r="X35" i="12" s="1"/>
  <c r="AC33" i="12"/>
  <c r="X33" i="12" s="1"/>
  <c r="AC31" i="12"/>
  <c r="X31" i="12" s="1"/>
  <c r="AC29" i="12"/>
  <c r="X29" i="12" s="1"/>
  <c r="AC27" i="12"/>
  <c r="X27" i="12" s="1"/>
  <c r="AC25" i="12"/>
  <c r="X25" i="12" s="1"/>
  <c r="AC23" i="12"/>
  <c r="X23" i="12" s="1"/>
  <c r="AC21" i="12"/>
  <c r="X21" i="12" s="1"/>
  <c r="Y33" i="12"/>
  <c r="Y35" i="12"/>
  <c r="Y37" i="12"/>
  <c r="Y34" i="12"/>
  <c r="Y36" i="12"/>
  <c r="Y38" i="12"/>
  <c r="Y39" i="12"/>
  <c r="Y41" i="12"/>
  <c r="Y43" i="12"/>
  <c r="W14" i="12"/>
  <c r="AI14" i="12" s="1"/>
  <c r="W7" i="12"/>
  <c r="AJ7" i="12" s="1"/>
  <c r="W8" i="12"/>
  <c r="AJ8" i="12" s="1"/>
  <c r="W11" i="12"/>
  <c r="AI11" i="12" s="1"/>
  <c r="W13" i="12"/>
  <c r="AJ13" i="12" s="1"/>
  <c r="W6" i="12"/>
  <c r="AI6" i="12" s="1"/>
  <c r="W10" i="12"/>
  <c r="AJ10" i="12" s="1"/>
  <c r="W15" i="12"/>
  <c r="AJ15" i="12" s="1"/>
  <c r="AD16" i="12"/>
  <c r="AD24" i="12"/>
  <c r="AC24" i="12"/>
  <c r="X24" i="12" s="1"/>
  <c r="AD26" i="12"/>
  <c r="AC26" i="12"/>
  <c r="X26" i="12" s="1"/>
  <c r="AD28" i="12"/>
  <c r="AC28" i="12"/>
  <c r="X28" i="12" s="1"/>
  <c r="AI30" i="12"/>
  <c r="AD30" i="12"/>
  <c r="AC30" i="12"/>
  <c r="X30" i="12" s="1"/>
  <c r="AD32" i="12"/>
  <c r="AC32" i="12"/>
  <c r="X32" i="12" s="1"/>
  <c r="AD34" i="12"/>
  <c r="AC34" i="12"/>
  <c r="X34" i="12" s="1"/>
  <c r="AI36" i="12"/>
  <c r="AL36" i="12" s="1"/>
  <c r="AE36" i="12" s="1"/>
  <c r="AA36" i="12" s="1"/>
  <c r="AJ36" i="12"/>
  <c r="AD36" i="12"/>
  <c r="AC36" i="12"/>
  <c r="X36" i="12" s="1"/>
  <c r="AI38" i="12"/>
  <c r="AL38" i="12" s="1"/>
  <c r="AE38" i="12" s="1"/>
  <c r="AA38" i="12" s="1"/>
  <c r="AJ38" i="12"/>
  <c r="AD38" i="12"/>
  <c r="AC38" i="12"/>
  <c r="X38" i="12" s="1"/>
  <c r="AI40" i="12"/>
  <c r="AL40" i="12" s="1"/>
  <c r="AE40" i="12" s="1"/>
  <c r="AA40" i="12" s="1"/>
  <c r="AJ40" i="12"/>
  <c r="AD40" i="12"/>
  <c r="Z40" i="12" s="1"/>
  <c r="AC40" i="12"/>
  <c r="X40" i="12" s="1"/>
  <c r="AI42" i="12"/>
  <c r="AL42" i="12" s="1"/>
  <c r="AE42" i="12" s="1"/>
  <c r="AA42" i="12" s="1"/>
  <c r="AJ42" i="12"/>
  <c r="AD42" i="12"/>
  <c r="AC42" i="12"/>
  <c r="X42" i="12" s="1"/>
  <c r="AI44" i="12"/>
  <c r="AL44" i="12" s="1"/>
  <c r="AE44" i="12" s="1"/>
  <c r="AA44" i="12" s="1"/>
  <c r="AJ44" i="12"/>
  <c r="AD44" i="12"/>
  <c r="Z44" i="12" s="1"/>
  <c r="AC44" i="12"/>
  <c r="X44" i="12" s="1"/>
  <c r="AD14" i="12"/>
  <c r="AC14" i="12"/>
  <c r="X14" i="12" s="1"/>
  <c r="AI16" i="12"/>
  <c r="AJ16" i="12"/>
  <c r="AI18" i="12"/>
  <c r="AJ18" i="12"/>
  <c r="AI24" i="12"/>
  <c r="AI17" i="12"/>
  <c r="AI19" i="12"/>
  <c r="AI21" i="12"/>
  <c r="AD23" i="12"/>
  <c r="AI23" i="12"/>
  <c r="AI25" i="12"/>
  <c r="AD27" i="12"/>
  <c r="AI27" i="12"/>
  <c r="AI29" i="12"/>
  <c r="AD31" i="12"/>
  <c r="AI31" i="12"/>
  <c r="AI33" i="12"/>
  <c r="AL33" i="12" s="1"/>
  <c r="AE33" i="12" s="1"/>
  <c r="AA33" i="12" s="1"/>
  <c r="AD35" i="12"/>
  <c r="AI35" i="12"/>
  <c r="AL35" i="12" s="1"/>
  <c r="AE35" i="12" s="1"/>
  <c r="AA35" i="12" s="1"/>
  <c r="AI37" i="12"/>
  <c r="AL37" i="12" s="1"/>
  <c r="AE37" i="12" s="1"/>
  <c r="AA37" i="12" s="1"/>
  <c r="AD39" i="12"/>
  <c r="AI39" i="12"/>
  <c r="AL39" i="12" s="1"/>
  <c r="AE39" i="12" s="1"/>
  <c r="AA39" i="12" s="1"/>
  <c r="AI41" i="12"/>
  <c r="AL41" i="12" s="1"/>
  <c r="AE41" i="12" s="1"/>
  <c r="AA41" i="12" s="1"/>
  <c r="AD43" i="12"/>
  <c r="AI43" i="12"/>
  <c r="AL43" i="12" s="1"/>
  <c r="AE43" i="12" s="1"/>
  <c r="AA43" i="12" s="1"/>
  <c r="AI45" i="12"/>
  <c r="AL45" i="12" s="1"/>
  <c r="AE45" i="12" s="1"/>
  <c r="AA45" i="12" s="1"/>
  <c r="D22" i="11"/>
  <c r="D23" i="11" s="1"/>
  <c r="D9" i="11"/>
  <c r="E9" i="11" s="1"/>
  <c r="D10" i="11"/>
  <c r="AN6" i="13" l="1"/>
  <c r="AG6" i="13" s="1"/>
  <c r="AC7" i="12"/>
  <c r="X7" i="12" s="1"/>
  <c r="AI26" i="12"/>
  <c r="AD22" i="12"/>
  <c r="AD6" i="13"/>
  <c r="AD7" i="14"/>
  <c r="Z7" i="14" s="1"/>
  <c r="Z46" i="14" s="1"/>
  <c r="V47" i="14" s="1"/>
  <c r="Z47" i="14" s="1"/>
  <c r="Z51" i="14" s="1"/>
  <c r="Z53" i="14" s="1"/>
  <c r="X54" i="14" s="1"/>
  <c r="Z54" i="14" s="1"/>
  <c r="AA54" i="14" s="1"/>
  <c r="AC7" i="14"/>
  <c r="X7" i="14" s="1"/>
  <c r="Z35" i="12"/>
  <c r="Z38" i="12"/>
  <c r="Z34" i="12"/>
  <c r="AI34" i="12"/>
  <c r="AL34" i="12" s="1"/>
  <c r="AE34" i="12" s="1"/>
  <c r="AA34" i="12" s="1"/>
  <c r="Z42" i="12"/>
  <c r="Z36" i="12"/>
  <c r="AJ22" i="12"/>
  <c r="AI20" i="12"/>
  <c r="AD20" i="12"/>
  <c r="AB19" i="12"/>
  <c r="AC19" i="12" s="1"/>
  <c r="X19" i="12" s="1"/>
  <c r="AB18" i="12"/>
  <c r="AB17" i="12"/>
  <c r="AC17" i="12" s="1"/>
  <c r="X17" i="12" s="1"/>
  <c r="AJ12" i="12"/>
  <c r="AL12" i="12"/>
  <c r="AM12" i="12" s="1"/>
  <c r="AF12" i="12" s="1"/>
  <c r="Y12" i="12" s="1"/>
  <c r="D24" i="11"/>
  <c r="E24" i="11" s="1"/>
  <c r="E22" i="11"/>
  <c r="AI28" i="12"/>
  <c r="AD14" i="13"/>
  <c r="AC14" i="13"/>
  <c r="X14" i="13" s="1"/>
  <c r="AC12" i="13"/>
  <c r="X12" i="13" s="1"/>
  <c r="AD12" i="13"/>
  <c r="AC10" i="13"/>
  <c r="X10" i="13" s="1"/>
  <c r="AD10" i="13"/>
  <c r="AD16" i="13"/>
  <c r="AC16" i="13"/>
  <c r="X16" i="13" s="1"/>
  <c r="AC23" i="13"/>
  <c r="X23" i="13" s="1"/>
  <c r="AD23" i="13"/>
  <c r="AD11" i="13"/>
  <c r="AC11" i="13"/>
  <c r="X11" i="13" s="1"/>
  <c r="AC15" i="13"/>
  <c r="X15" i="13" s="1"/>
  <c r="AD15" i="13"/>
  <c r="AD22" i="13"/>
  <c r="AC22" i="13"/>
  <c r="X22" i="13" s="1"/>
  <c r="AD24" i="13"/>
  <c r="AC24" i="13"/>
  <c r="X24" i="13" s="1"/>
  <c r="AD7" i="13"/>
  <c r="AC7" i="13"/>
  <c r="X7" i="13" s="1"/>
  <c r="AC13" i="13"/>
  <c r="X13" i="13" s="1"/>
  <c r="AD13" i="13"/>
  <c r="AD9" i="13"/>
  <c r="AC9" i="13"/>
  <c r="X9" i="13" s="1"/>
  <c r="AM7" i="13"/>
  <c r="AF7" i="13" s="1"/>
  <c r="Y7" i="13" s="1"/>
  <c r="AE7" i="13"/>
  <c r="AA7" i="13" s="1"/>
  <c r="AM9" i="13"/>
  <c r="AF9" i="13" s="1"/>
  <c r="Y9" i="13" s="1"/>
  <c r="Z9" i="13" s="1"/>
  <c r="AE9" i="13"/>
  <c r="AA9" i="13" s="1"/>
  <c r="AE10" i="13"/>
  <c r="AA10" i="13" s="1"/>
  <c r="AM10" i="13"/>
  <c r="AF10" i="13" s="1"/>
  <c r="Y10" i="13" s="1"/>
  <c r="Z10" i="13" s="1"/>
  <c r="AE12" i="13"/>
  <c r="AA12" i="13" s="1"/>
  <c r="AM12" i="13"/>
  <c r="AF12" i="13" s="1"/>
  <c r="Y12" i="13" s="1"/>
  <c r="Z12" i="13" s="1"/>
  <c r="AE6" i="13"/>
  <c r="AA6" i="13" s="1"/>
  <c r="AM6" i="13"/>
  <c r="AF6" i="13" s="1"/>
  <c r="Y6" i="13" s="1"/>
  <c r="AE8" i="13"/>
  <c r="AA8" i="13" s="1"/>
  <c r="AM8" i="13"/>
  <c r="AF8" i="13" s="1"/>
  <c r="Y8" i="13" s="1"/>
  <c r="Z8" i="13" s="1"/>
  <c r="AM14" i="13"/>
  <c r="AF14" i="13" s="1"/>
  <c r="Y14" i="13" s="1"/>
  <c r="Z14" i="13" s="1"/>
  <c r="AE14" i="13"/>
  <c r="AA14" i="13" s="1"/>
  <c r="AM16" i="13"/>
  <c r="AF16" i="13" s="1"/>
  <c r="Y16" i="13" s="1"/>
  <c r="Z16" i="13" s="1"/>
  <c r="AE16" i="13"/>
  <c r="AA16" i="13" s="1"/>
  <c r="AM18" i="13"/>
  <c r="AF18" i="13" s="1"/>
  <c r="Y18" i="13" s="1"/>
  <c r="Z18" i="13" s="1"/>
  <c r="AE18" i="13"/>
  <c r="AA18" i="13" s="1"/>
  <c r="AM20" i="13"/>
  <c r="AF20" i="13" s="1"/>
  <c r="Y20" i="13" s="1"/>
  <c r="Z20" i="13" s="1"/>
  <c r="AE20" i="13"/>
  <c r="AA20" i="13" s="1"/>
  <c r="AM22" i="13"/>
  <c r="AF22" i="13" s="1"/>
  <c r="Y22" i="13" s="1"/>
  <c r="AE22" i="13"/>
  <c r="AA22" i="13" s="1"/>
  <c r="AM24" i="13"/>
  <c r="AF24" i="13" s="1"/>
  <c r="Y24" i="13" s="1"/>
  <c r="AE24" i="13"/>
  <c r="AA24" i="13" s="1"/>
  <c r="AM26" i="13"/>
  <c r="AF26" i="13" s="1"/>
  <c r="Y26" i="13" s="1"/>
  <c r="Z26" i="13" s="1"/>
  <c r="AE26" i="13"/>
  <c r="AA26" i="13" s="1"/>
  <c r="AM11" i="13"/>
  <c r="AF11" i="13" s="1"/>
  <c r="Y11" i="13" s="1"/>
  <c r="Z11" i="13" s="1"/>
  <c r="AE11" i="13"/>
  <c r="AA11" i="13" s="1"/>
  <c r="AE13" i="13"/>
  <c r="AA13" i="13" s="1"/>
  <c r="AM13" i="13"/>
  <c r="AF13" i="13" s="1"/>
  <c r="Y13" i="13" s="1"/>
  <c r="Z13" i="13" s="1"/>
  <c r="AE15" i="13"/>
  <c r="AA15" i="13" s="1"/>
  <c r="AM15" i="13"/>
  <c r="AF15" i="13" s="1"/>
  <c r="Y15" i="13" s="1"/>
  <c r="AE17" i="13"/>
  <c r="AA17" i="13" s="1"/>
  <c r="AM17" i="13"/>
  <c r="AF17" i="13" s="1"/>
  <c r="Y17" i="13" s="1"/>
  <c r="Z17" i="13" s="1"/>
  <c r="AE19" i="13"/>
  <c r="AA19" i="13" s="1"/>
  <c r="AM19" i="13"/>
  <c r="AF19" i="13" s="1"/>
  <c r="Y19" i="13" s="1"/>
  <c r="Z19" i="13" s="1"/>
  <c r="AE21" i="13"/>
  <c r="AA21" i="13" s="1"/>
  <c r="AM21" i="13"/>
  <c r="AF21" i="13" s="1"/>
  <c r="Y21" i="13" s="1"/>
  <c r="Z21" i="13" s="1"/>
  <c r="AE23" i="13"/>
  <c r="AA23" i="13" s="1"/>
  <c r="AM23" i="13"/>
  <c r="AF23" i="13" s="1"/>
  <c r="Y23" i="13" s="1"/>
  <c r="AE25" i="13"/>
  <c r="AA25" i="13" s="1"/>
  <c r="AM25" i="13"/>
  <c r="AF25" i="13" s="1"/>
  <c r="Y25" i="13" s="1"/>
  <c r="Z25" i="13" s="1"/>
  <c r="Z43" i="12"/>
  <c r="AI9" i="12"/>
  <c r="Z39" i="12"/>
  <c r="AI8" i="12"/>
  <c r="AJ32" i="12"/>
  <c r="AL30" i="12"/>
  <c r="AN30" i="12"/>
  <c r="AG30" i="12" s="1"/>
  <c r="AL31" i="12"/>
  <c r="AN31" i="12"/>
  <c r="AG31" i="12" s="1"/>
  <c r="AL32" i="12"/>
  <c r="AE32" i="12" s="1"/>
  <c r="AA32" i="12" s="1"/>
  <c r="AN32" i="12"/>
  <c r="AG32" i="12" s="1"/>
  <c r="AL29" i="12"/>
  <c r="AN29" i="12"/>
  <c r="AG29" i="12" s="1"/>
  <c r="AL27" i="12"/>
  <c r="AN27" i="12"/>
  <c r="AG27" i="12" s="1"/>
  <c r="AL28" i="12"/>
  <c r="AN28" i="12"/>
  <c r="AG28" i="12" s="1"/>
  <c r="AE27" i="12"/>
  <c r="AA27" i="12" s="1"/>
  <c r="AM27" i="12"/>
  <c r="AF27" i="12" s="1"/>
  <c r="Y27" i="12" s="1"/>
  <c r="Z27" i="12" s="1"/>
  <c r="AE29" i="12"/>
  <c r="AA29" i="12" s="1"/>
  <c r="AM29" i="12"/>
  <c r="AF29" i="12" s="1"/>
  <c r="Y29" i="12" s="1"/>
  <c r="AE30" i="12"/>
  <c r="AA30" i="12" s="1"/>
  <c r="AM30" i="12"/>
  <c r="AF30" i="12" s="1"/>
  <c r="Y30" i="12" s="1"/>
  <c r="Z30" i="12" s="1"/>
  <c r="AE28" i="12"/>
  <c r="AA28" i="12" s="1"/>
  <c r="AM28" i="12"/>
  <c r="AF28" i="12" s="1"/>
  <c r="Y28" i="12" s="1"/>
  <c r="Z28" i="12" s="1"/>
  <c r="AE31" i="12"/>
  <c r="AA31" i="12" s="1"/>
  <c r="AM31" i="12"/>
  <c r="AF31" i="12" s="1"/>
  <c r="Y31" i="12" s="1"/>
  <c r="Z31" i="12" s="1"/>
  <c r="AM32" i="12"/>
  <c r="AF32" i="12" s="1"/>
  <c r="Y32" i="12" s="1"/>
  <c r="Z32" i="12" s="1"/>
  <c r="AI15" i="12"/>
  <c r="AL15" i="12" s="1"/>
  <c r="AJ14" i="12"/>
  <c r="AD10" i="12"/>
  <c r="AC10" i="12"/>
  <c r="X10" i="12" s="1"/>
  <c r="AC9" i="12"/>
  <c r="X9" i="12" s="1"/>
  <c r="AD9" i="12"/>
  <c r="AD45" i="12"/>
  <c r="Z45" i="12" s="1"/>
  <c r="AD41" i="12"/>
  <c r="Z41" i="12" s="1"/>
  <c r="AD37" i="12"/>
  <c r="Z37" i="12" s="1"/>
  <c r="AD33" i="12"/>
  <c r="Z33" i="12" s="1"/>
  <c r="AD29" i="12"/>
  <c r="AD25" i="12"/>
  <c r="AD21" i="12"/>
  <c r="AD11" i="12"/>
  <c r="AC11" i="12"/>
  <c r="X11" i="12" s="1"/>
  <c r="AD12" i="12"/>
  <c r="AC12" i="12"/>
  <c r="X12" i="12" s="1"/>
  <c r="X6" i="12"/>
  <c r="AD6" i="12"/>
  <c r="AD15" i="12"/>
  <c r="AD13" i="12"/>
  <c r="AI10" i="12"/>
  <c r="AN10" i="12" s="1"/>
  <c r="AG10" i="12" s="1"/>
  <c r="AI13" i="12"/>
  <c r="AL13" i="12" s="1"/>
  <c r="AJ6" i="12"/>
  <c r="AJ11" i="12"/>
  <c r="AI7" i="12"/>
  <c r="AL7" i="12" s="1"/>
  <c r="AN26" i="12"/>
  <c r="AG26" i="12" s="1"/>
  <c r="AL26" i="12"/>
  <c r="AN24" i="12"/>
  <c r="AG24" i="12" s="1"/>
  <c r="AL24" i="12"/>
  <c r="AN22" i="12"/>
  <c r="AG22" i="12" s="1"/>
  <c r="AL22" i="12"/>
  <c r="AN20" i="12"/>
  <c r="AG20" i="12" s="1"/>
  <c r="AL20" i="12"/>
  <c r="AN18" i="12"/>
  <c r="AG18" i="12" s="1"/>
  <c r="AL18" i="12"/>
  <c r="AN16" i="12"/>
  <c r="AG16" i="12" s="1"/>
  <c r="AL16" i="12"/>
  <c r="AN14" i="12"/>
  <c r="AG14" i="12" s="1"/>
  <c r="AL14" i="12"/>
  <c r="AN6" i="12"/>
  <c r="AG6" i="12" s="1"/>
  <c r="AL6" i="12"/>
  <c r="AN8" i="12"/>
  <c r="AG8" i="12" s="1"/>
  <c r="AL8" i="12"/>
  <c r="AN25" i="12"/>
  <c r="AG25" i="12" s="1"/>
  <c r="AL25" i="12"/>
  <c r="AN23" i="12"/>
  <c r="AG23" i="12" s="1"/>
  <c r="AL23" i="12"/>
  <c r="AN21" i="12"/>
  <c r="AG21" i="12" s="1"/>
  <c r="AL21" i="12"/>
  <c r="AN19" i="12"/>
  <c r="AG19" i="12" s="1"/>
  <c r="AL19" i="12"/>
  <c r="AN17" i="12"/>
  <c r="AG17" i="12" s="1"/>
  <c r="AL17" i="12"/>
  <c r="AN15" i="12"/>
  <c r="AG15" i="12" s="1"/>
  <c r="AN9" i="12"/>
  <c r="AG9" i="12" s="1"/>
  <c r="AL9" i="12"/>
  <c r="AN11" i="12"/>
  <c r="AG11" i="12" s="1"/>
  <c r="AL11" i="12"/>
  <c r="D11" i="11"/>
  <c r="E10" i="11"/>
  <c r="AN7" i="12" l="1"/>
  <c r="AG7" i="12" s="1"/>
  <c r="Z24" i="13"/>
  <c r="Z6" i="13"/>
  <c r="Z22" i="13"/>
  <c r="Z23" i="13"/>
  <c r="Z15" i="13"/>
  <c r="Z7" i="13"/>
  <c r="AD19" i="12"/>
  <c r="AD17" i="12"/>
  <c r="AD18" i="12"/>
  <c r="AC18" i="12"/>
  <c r="X18" i="12" s="1"/>
  <c r="AE12" i="12"/>
  <c r="AA12" i="12" s="1"/>
  <c r="Z12" i="12"/>
  <c r="AN13" i="12"/>
  <c r="AG13" i="12" s="1"/>
  <c r="AL10" i="12"/>
  <c r="AE10" i="12" s="1"/>
  <c r="AA10" i="12" s="1"/>
  <c r="Z29" i="12"/>
  <c r="AE7" i="12"/>
  <c r="AA7" i="12" s="1"/>
  <c r="AM7" i="12"/>
  <c r="AF7" i="12" s="1"/>
  <c r="Y7" i="12" s="1"/>
  <c r="Z7" i="12" s="1"/>
  <c r="AE11" i="12"/>
  <c r="AA11" i="12" s="1"/>
  <c r="AM11" i="12"/>
  <c r="AF11" i="12" s="1"/>
  <c r="Y11" i="12" s="1"/>
  <c r="Z11" i="12" s="1"/>
  <c r="AE13" i="12"/>
  <c r="AA13" i="12" s="1"/>
  <c r="AM13" i="12"/>
  <c r="AF13" i="12" s="1"/>
  <c r="Y13" i="12" s="1"/>
  <c r="Z13" i="12" s="1"/>
  <c r="AE9" i="12"/>
  <c r="AA9" i="12" s="1"/>
  <c r="AM9" i="12"/>
  <c r="AF9" i="12" s="1"/>
  <c r="Y9" i="12" s="1"/>
  <c r="Z9" i="12" s="1"/>
  <c r="AE15" i="12"/>
  <c r="AA15" i="12" s="1"/>
  <c r="AM15" i="12"/>
  <c r="AF15" i="12" s="1"/>
  <c r="Y15" i="12" s="1"/>
  <c r="Z15" i="12" s="1"/>
  <c r="AE17" i="12"/>
  <c r="AA17" i="12" s="1"/>
  <c r="AM17" i="12"/>
  <c r="AF17" i="12" s="1"/>
  <c r="Y17" i="12" s="1"/>
  <c r="AE19" i="12"/>
  <c r="AA19" i="12" s="1"/>
  <c r="AM19" i="12"/>
  <c r="AF19" i="12" s="1"/>
  <c r="Y19" i="12" s="1"/>
  <c r="AE21" i="12"/>
  <c r="AA21" i="12" s="1"/>
  <c r="AM21" i="12"/>
  <c r="AF21" i="12" s="1"/>
  <c r="Y21" i="12" s="1"/>
  <c r="Z21" i="12" s="1"/>
  <c r="AE23" i="12"/>
  <c r="AA23" i="12" s="1"/>
  <c r="AM23" i="12"/>
  <c r="AF23" i="12" s="1"/>
  <c r="Y23" i="12" s="1"/>
  <c r="Z23" i="12" s="1"/>
  <c r="AE25" i="12"/>
  <c r="AA25" i="12" s="1"/>
  <c r="AM25" i="12"/>
  <c r="AF25" i="12" s="1"/>
  <c r="Y25" i="12" s="1"/>
  <c r="Z25" i="12" s="1"/>
  <c r="AM8" i="12"/>
  <c r="AF8" i="12" s="1"/>
  <c r="Y8" i="12" s="1"/>
  <c r="Z8" i="12" s="1"/>
  <c r="AE8" i="12"/>
  <c r="AA8" i="12" s="1"/>
  <c r="AM6" i="12"/>
  <c r="AF6" i="12" s="1"/>
  <c r="Y6" i="12" s="1"/>
  <c r="Z6" i="12" s="1"/>
  <c r="AE6" i="12"/>
  <c r="AA6" i="12" s="1"/>
  <c r="AM14" i="12"/>
  <c r="AF14" i="12" s="1"/>
  <c r="Y14" i="12" s="1"/>
  <c r="Z14" i="12" s="1"/>
  <c r="AE14" i="12"/>
  <c r="AA14" i="12" s="1"/>
  <c r="AM16" i="12"/>
  <c r="AF16" i="12" s="1"/>
  <c r="Y16" i="12" s="1"/>
  <c r="Z16" i="12" s="1"/>
  <c r="AE16" i="12"/>
  <c r="AA16" i="12" s="1"/>
  <c r="AM18" i="12"/>
  <c r="AF18" i="12" s="1"/>
  <c r="Y18" i="12" s="1"/>
  <c r="Z18" i="12" s="1"/>
  <c r="AE18" i="12"/>
  <c r="AA18" i="12" s="1"/>
  <c r="AM20" i="12"/>
  <c r="AF20" i="12" s="1"/>
  <c r="Y20" i="12" s="1"/>
  <c r="Z20" i="12" s="1"/>
  <c r="AE20" i="12"/>
  <c r="AA20" i="12" s="1"/>
  <c r="AM22" i="12"/>
  <c r="AF22" i="12" s="1"/>
  <c r="Y22" i="12" s="1"/>
  <c r="Z22" i="12" s="1"/>
  <c r="AE22" i="12"/>
  <c r="AA22" i="12" s="1"/>
  <c r="AM24" i="12"/>
  <c r="AF24" i="12" s="1"/>
  <c r="Y24" i="12" s="1"/>
  <c r="Z24" i="12" s="1"/>
  <c r="AE24" i="12"/>
  <c r="AA24" i="12" s="1"/>
  <c r="AM26" i="12"/>
  <c r="AF26" i="12" s="1"/>
  <c r="Y26" i="12" s="1"/>
  <c r="Z26" i="12" s="1"/>
  <c r="AE26" i="12"/>
  <c r="AA26" i="12" s="1"/>
  <c r="AM10" i="12" l="1"/>
  <c r="AF10" i="12" s="1"/>
  <c r="Y10" i="12" s="1"/>
  <c r="Z10" i="12" s="1"/>
  <c r="Z46" i="13"/>
  <c r="V47" i="13" s="1"/>
  <c r="Z47" i="13" s="1"/>
  <c r="Z51" i="13" s="1"/>
  <c r="Z53" i="13" s="1"/>
  <c r="X54" i="13" s="1"/>
  <c r="Z54" i="13" s="1"/>
  <c r="AA54" i="13" s="1"/>
  <c r="Z17" i="12"/>
  <c r="Z19" i="12"/>
  <c r="Z46" i="12" l="1"/>
  <c r="V47" i="12" s="1"/>
  <c r="Z47" i="12" s="1"/>
  <c r="Z51" i="12" s="1"/>
  <c r="Z53" i="12" s="1"/>
  <c r="X54" i="12" s="1"/>
  <c r="Z54" i="12" s="1"/>
  <c r="AA54" i="12" s="1"/>
</calcChain>
</file>

<file path=xl/sharedStrings.xml><?xml version="1.0" encoding="utf-8"?>
<sst xmlns="http://schemas.openxmlformats.org/spreadsheetml/2006/main" count="1348" uniqueCount="646">
  <si>
    <t>口径</t>
    <rPh sb="0" eb="2">
      <t>コウケイ</t>
    </rPh>
    <phoneticPr fontId="3"/>
  </si>
  <si>
    <t>流量</t>
    <rPh sb="0" eb="2">
      <t>リュウリョウ</t>
    </rPh>
    <phoneticPr fontId="3"/>
  </si>
  <si>
    <t>栓数</t>
    <rPh sb="0" eb="1">
      <t>セン</t>
    </rPh>
    <rPh sb="1" eb="2">
      <t>スウ</t>
    </rPh>
    <phoneticPr fontId="3"/>
  </si>
  <si>
    <t>損失水頭</t>
    <rPh sb="0" eb="2">
      <t>ソンシツ</t>
    </rPh>
    <rPh sb="2" eb="3">
      <t>スイ</t>
    </rPh>
    <rPh sb="3" eb="4">
      <t>アタマ</t>
    </rPh>
    <phoneticPr fontId="3"/>
  </si>
  <si>
    <t>個</t>
    <rPh sb="0" eb="1">
      <t>コ</t>
    </rPh>
    <phoneticPr fontId="3"/>
  </si>
  <si>
    <t>逆止弁</t>
    <rPh sb="0" eb="1">
      <t>ギャク</t>
    </rPh>
    <rPh sb="1" eb="2">
      <t>シ</t>
    </rPh>
    <rPh sb="2" eb="3">
      <t>ベン</t>
    </rPh>
    <phoneticPr fontId="3"/>
  </si>
  <si>
    <t>給水栓数</t>
    <rPh sb="0" eb="2">
      <t>キュウスイ</t>
    </rPh>
    <rPh sb="2" eb="3">
      <t>セン</t>
    </rPh>
    <rPh sb="3" eb="4">
      <t>カズ</t>
    </rPh>
    <phoneticPr fontId="3"/>
  </si>
  <si>
    <t xml:space="preserve">  1</t>
    <phoneticPr fontId="3"/>
  </si>
  <si>
    <t>乙既設</t>
    <rPh sb="0" eb="1">
      <t>コウオツヘイ</t>
    </rPh>
    <rPh sb="1" eb="3">
      <t>キセツ</t>
    </rPh>
    <phoneticPr fontId="3"/>
  </si>
  <si>
    <t>甲乙丙</t>
    <rPh sb="0" eb="2">
      <t>コウオツ</t>
    </rPh>
    <rPh sb="2" eb="3">
      <t>ヘイ</t>
    </rPh>
    <phoneticPr fontId="3"/>
  </si>
  <si>
    <t>仕切弁</t>
    <rPh sb="0" eb="2">
      <t>シキリ</t>
    </rPh>
    <rPh sb="2" eb="3">
      <t>ベン</t>
    </rPh>
    <phoneticPr fontId="3"/>
  </si>
  <si>
    <t>止水栓</t>
    <rPh sb="0" eb="3">
      <t>シスイセン</t>
    </rPh>
    <phoneticPr fontId="3"/>
  </si>
  <si>
    <t>水抜栓</t>
    <rPh sb="0" eb="1">
      <t>ミズ</t>
    </rPh>
    <rPh sb="1" eb="2">
      <t>ヌ</t>
    </rPh>
    <rPh sb="2" eb="3">
      <t>セン</t>
    </rPh>
    <phoneticPr fontId="3"/>
  </si>
  <si>
    <t>異径</t>
    <rPh sb="0" eb="1">
      <t>イ</t>
    </rPh>
    <rPh sb="1" eb="2">
      <t>ケイ</t>
    </rPh>
    <phoneticPr fontId="3"/>
  </si>
  <si>
    <t>直流</t>
    <rPh sb="0" eb="2">
      <t>チョクリュウ</t>
    </rPh>
    <phoneticPr fontId="3"/>
  </si>
  <si>
    <t>分流</t>
    <rPh sb="0" eb="2">
      <t>ブンリュウ</t>
    </rPh>
    <phoneticPr fontId="3"/>
  </si>
  <si>
    <t>戸数</t>
    <rPh sb="0" eb="1">
      <t>ト</t>
    </rPh>
    <rPh sb="1" eb="2">
      <t>スウ</t>
    </rPh>
    <phoneticPr fontId="3"/>
  </si>
  <si>
    <t>同時開栓数</t>
    <rPh sb="0" eb="2">
      <t>ドウジ</t>
    </rPh>
    <rPh sb="2" eb="3">
      <t>カイ</t>
    </rPh>
    <rPh sb="3" eb="4">
      <t>セン</t>
    </rPh>
    <rPh sb="4" eb="5">
      <t>スウ</t>
    </rPh>
    <phoneticPr fontId="3"/>
  </si>
  <si>
    <t>使用水量</t>
    <rPh sb="0" eb="2">
      <t>シヨウ</t>
    </rPh>
    <rPh sb="2" eb="4">
      <t>スイリョウ</t>
    </rPh>
    <phoneticPr fontId="3"/>
  </si>
  <si>
    <t>動水勾配</t>
    <rPh sb="0" eb="1">
      <t>ドウ</t>
    </rPh>
    <rPh sb="1" eb="2">
      <t>スイ</t>
    </rPh>
    <rPh sb="2" eb="4">
      <t>コウバイ</t>
    </rPh>
    <phoneticPr fontId="3"/>
  </si>
  <si>
    <t>戸</t>
    <rPh sb="0" eb="1">
      <t>ト</t>
    </rPh>
    <phoneticPr fontId="3"/>
  </si>
  <si>
    <t>分岐</t>
    <rPh sb="0" eb="1">
      <t>ブン</t>
    </rPh>
    <rPh sb="1" eb="2">
      <t>キ</t>
    </rPh>
    <phoneticPr fontId="3"/>
  </si>
  <si>
    <t>㎜</t>
    <phoneticPr fontId="3"/>
  </si>
  <si>
    <t>安全率（10％）</t>
    <rPh sb="0" eb="2">
      <t>アンゼン</t>
    </rPh>
    <rPh sb="2" eb="3">
      <t>リツ</t>
    </rPh>
    <phoneticPr fontId="3"/>
  </si>
  <si>
    <t>立上がり高さ</t>
    <rPh sb="0" eb="1">
      <t>タ</t>
    </rPh>
    <rPh sb="1" eb="2">
      <t>ア</t>
    </rPh>
    <rPh sb="4" eb="5">
      <t>タカ</t>
    </rPh>
    <phoneticPr fontId="3"/>
  </si>
  <si>
    <t>所要水頭</t>
    <rPh sb="0" eb="2">
      <t>ショヨウ</t>
    </rPh>
    <rPh sb="2" eb="3">
      <t>スイ</t>
    </rPh>
    <rPh sb="3" eb="4">
      <t>トウ</t>
    </rPh>
    <phoneticPr fontId="3"/>
  </si>
  <si>
    <t>地盤～高低差</t>
    <rPh sb="0" eb="2">
      <t>ジバン</t>
    </rPh>
    <rPh sb="3" eb="5">
      <t>コウテイ</t>
    </rPh>
    <rPh sb="5" eb="6">
      <t>サ</t>
    </rPh>
    <phoneticPr fontId="3"/>
  </si>
  <si>
    <t>残損水頭</t>
    <rPh sb="0" eb="1">
      <t>ザン</t>
    </rPh>
    <rPh sb="1" eb="2">
      <t>ゾン</t>
    </rPh>
    <rPh sb="2" eb="3">
      <t>スイ</t>
    </rPh>
    <rPh sb="3" eb="4">
      <t>トウ</t>
    </rPh>
    <phoneticPr fontId="3"/>
  </si>
  <si>
    <t>配水管水圧－損失水頭　　　（</t>
    <rPh sb="0" eb="3">
      <t>ハイスイカン</t>
    </rPh>
    <rPh sb="3" eb="5">
      <t>スイアツ</t>
    </rPh>
    <rPh sb="6" eb="8">
      <t>ソンシツ</t>
    </rPh>
    <rPh sb="8" eb="10">
      <t>スイトウ</t>
    </rPh>
    <phoneticPr fontId="3"/>
  </si>
  <si>
    <t>瞬時最大流量</t>
    <rPh sb="0" eb="2">
      <t>シュンジ</t>
    </rPh>
    <rPh sb="2" eb="4">
      <t>サイダイ</t>
    </rPh>
    <rPh sb="4" eb="6">
      <t>リュウリョウ</t>
    </rPh>
    <phoneticPr fontId="3"/>
  </si>
  <si>
    <t>動水勾配（‰）</t>
    <rPh sb="0" eb="1">
      <t>ドウ</t>
    </rPh>
    <rPh sb="1" eb="2">
      <t>スイ</t>
    </rPh>
    <rPh sb="2" eb="4">
      <t>コウバイ</t>
    </rPh>
    <phoneticPr fontId="3"/>
  </si>
  <si>
    <t>仕切弁</t>
    <rPh sb="0" eb="2">
      <t>シキ</t>
    </rPh>
    <rPh sb="2" eb="3">
      <t>ベン</t>
    </rPh>
    <phoneticPr fontId="3"/>
  </si>
  <si>
    <t>メーター</t>
    <phoneticPr fontId="3"/>
  </si>
  <si>
    <t>継ぎ手類等：損失水頭　　　（</t>
    <rPh sb="0" eb="1">
      <t>ツ</t>
    </rPh>
    <rPh sb="2" eb="3">
      <t>テ</t>
    </rPh>
    <rPh sb="3" eb="4">
      <t>ルイ</t>
    </rPh>
    <rPh sb="4" eb="5">
      <t>トウ</t>
    </rPh>
    <rPh sb="6" eb="8">
      <t>ソンシツ</t>
    </rPh>
    <rPh sb="8" eb="10">
      <t>スイトウ</t>
    </rPh>
    <phoneticPr fontId="3"/>
  </si>
  <si>
    <t>小　　計</t>
    <rPh sb="0" eb="1">
      <t>ショウ</t>
    </rPh>
    <rPh sb="3" eb="4">
      <t>ケイ</t>
    </rPh>
    <phoneticPr fontId="3"/>
  </si>
  <si>
    <t>合　　計</t>
    <rPh sb="0" eb="1">
      <t>ゴウ</t>
    </rPh>
    <rPh sb="3" eb="4">
      <t>ケイ</t>
    </rPh>
    <phoneticPr fontId="3"/>
  </si>
  <si>
    <t>‰</t>
    <phoneticPr fontId="3"/>
  </si>
  <si>
    <t>区間及び器具</t>
    <rPh sb="0" eb="2">
      <t>クカン</t>
    </rPh>
    <rPh sb="2" eb="3">
      <t>オヨ</t>
    </rPh>
    <rPh sb="4" eb="6">
      <t>キグ</t>
    </rPh>
    <phoneticPr fontId="3"/>
  </si>
  <si>
    <t>管延長</t>
    <rPh sb="0" eb="1">
      <t>カン</t>
    </rPh>
    <rPh sb="1" eb="3">
      <t>エンチョウ</t>
    </rPh>
    <phoneticPr fontId="3"/>
  </si>
  <si>
    <t>器具等</t>
    <rPh sb="0" eb="3">
      <t>キグトウ</t>
    </rPh>
    <phoneticPr fontId="3"/>
  </si>
  <si>
    <t>同時開栓数</t>
    <rPh sb="0" eb="2">
      <t>ドウジ</t>
    </rPh>
    <rPh sb="2" eb="4">
      <t>カイセン</t>
    </rPh>
    <rPh sb="4" eb="5">
      <t>カズ</t>
    </rPh>
    <phoneticPr fontId="3"/>
  </si>
  <si>
    <t>断面積</t>
    <phoneticPr fontId="3"/>
  </si>
  <si>
    <t>m3/sec</t>
    <phoneticPr fontId="3"/>
  </si>
  <si>
    <t>流速計数</t>
    <rPh sb="0" eb="2">
      <t>リュウソク</t>
    </rPh>
    <rPh sb="2" eb="3">
      <t>ケイ</t>
    </rPh>
    <rPh sb="3" eb="4">
      <t>スウ</t>
    </rPh>
    <phoneticPr fontId="3"/>
  </si>
  <si>
    <t>動水勾配</t>
    <phoneticPr fontId="3"/>
  </si>
  <si>
    <t>‰</t>
  </si>
  <si>
    <t>流速計数</t>
    <phoneticPr fontId="3"/>
  </si>
  <si>
    <t>新鋳鉄管</t>
    <phoneticPr fontId="3"/>
  </si>
  <si>
    <t>基準値</t>
    <rPh sb="0" eb="3">
      <t>キジュンチ</t>
    </rPh>
    <phoneticPr fontId="3"/>
  </si>
  <si>
    <t>2.0m/sce以下</t>
    <rPh sb="8" eb="10">
      <t>イカ</t>
    </rPh>
    <phoneticPr fontId="3"/>
  </si>
  <si>
    <t>直管換算長(管延長)</t>
    <rPh sb="6" eb="7">
      <t>カン</t>
    </rPh>
    <rPh sb="7" eb="9">
      <t>エンチョウ</t>
    </rPh>
    <phoneticPr fontId="3"/>
  </si>
  <si>
    <t>　　取付用具その他の損失水頭の直管換算表</t>
    <rPh sb="2" eb="4">
      <t>トリツケ</t>
    </rPh>
    <rPh sb="4" eb="6">
      <t>ヨウグ</t>
    </rPh>
    <rPh sb="8" eb="9">
      <t>タ</t>
    </rPh>
    <rPh sb="10" eb="11">
      <t>ソン</t>
    </rPh>
    <rPh sb="11" eb="12">
      <t>シツ</t>
    </rPh>
    <rPh sb="12" eb="14">
      <t>スイトウ</t>
    </rPh>
    <rPh sb="15" eb="16">
      <t>チョク</t>
    </rPh>
    <rPh sb="16" eb="17">
      <t>カン</t>
    </rPh>
    <rPh sb="17" eb="19">
      <t>カンザン</t>
    </rPh>
    <rPh sb="19" eb="20">
      <t>ヒョウ</t>
    </rPh>
    <phoneticPr fontId="5"/>
  </si>
  <si>
    <t>(単位 ｍ)</t>
    <rPh sb="1" eb="3">
      <t>タンイ</t>
    </rPh>
    <phoneticPr fontId="5"/>
  </si>
  <si>
    <t>種別</t>
    <rPh sb="0" eb="2">
      <t>シュベツ</t>
    </rPh>
    <phoneticPr fontId="5"/>
  </si>
  <si>
    <t>止水栓</t>
    <rPh sb="0" eb="3">
      <t>シスイセン</t>
    </rPh>
    <phoneticPr fontId="5"/>
  </si>
  <si>
    <t>副弁</t>
    <rPh sb="0" eb="1">
      <t>フク</t>
    </rPh>
    <rPh sb="1" eb="2">
      <t>ベン</t>
    </rPh>
    <phoneticPr fontId="5"/>
  </si>
  <si>
    <t>チーズ分流</t>
    <rPh sb="3" eb="5">
      <t>ブンリュウ</t>
    </rPh>
    <phoneticPr fontId="5"/>
  </si>
  <si>
    <t>チーズ直流</t>
    <rPh sb="3" eb="5">
      <t>チョクリュウ</t>
    </rPh>
    <phoneticPr fontId="5"/>
  </si>
  <si>
    <t>給水栓</t>
    <rPh sb="0" eb="3">
      <t>キュウスイセン</t>
    </rPh>
    <phoneticPr fontId="5"/>
  </si>
  <si>
    <t>曲半径
小なる
場　　合</t>
    <rPh sb="0" eb="1">
      <t>キョク</t>
    </rPh>
    <rPh sb="1" eb="3">
      <t>ハンケイ</t>
    </rPh>
    <rPh sb="4" eb="5">
      <t>ショウ</t>
    </rPh>
    <rPh sb="8" eb="9">
      <t>バ</t>
    </rPh>
    <rPh sb="11" eb="12">
      <t>ゴウ</t>
    </rPh>
    <phoneticPr fontId="5"/>
  </si>
  <si>
    <t>曲半径
大なる
場　　合</t>
    <rPh sb="0" eb="1">
      <t>キョク</t>
    </rPh>
    <rPh sb="1" eb="3">
      <t>ハンケイ</t>
    </rPh>
    <rPh sb="4" eb="5">
      <t>ダイ</t>
    </rPh>
    <rPh sb="8" eb="9">
      <t>バ</t>
    </rPh>
    <rPh sb="11" eb="12">
      <t>ゴウ</t>
    </rPh>
    <phoneticPr fontId="5"/>
  </si>
  <si>
    <t>逆止弁</t>
    <rPh sb="0" eb="1">
      <t>ギャク</t>
    </rPh>
    <rPh sb="1" eb="3">
      <t>シベン</t>
    </rPh>
    <phoneticPr fontId="5"/>
  </si>
  <si>
    <t>接線流
羽根車式</t>
    <rPh sb="0" eb="1">
      <t>セツ</t>
    </rPh>
    <rPh sb="1" eb="2">
      <t>セン</t>
    </rPh>
    <rPh sb="2" eb="3">
      <t>リュウ</t>
    </rPh>
    <rPh sb="4" eb="7">
      <t>ハネグルマ</t>
    </rPh>
    <rPh sb="7" eb="8">
      <t>シキ</t>
    </rPh>
    <phoneticPr fontId="5"/>
  </si>
  <si>
    <t>軸　　流
羽根車式</t>
    <rPh sb="0" eb="1">
      <t>ジク</t>
    </rPh>
    <rPh sb="3" eb="4">
      <t>リュウ</t>
    </rPh>
    <rPh sb="5" eb="8">
      <t>ハネグルマ</t>
    </rPh>
    <rPh sb="8" eb="9">
      <t>シキ</t>
    </rPh>
    <phoneticPr fontId="5"/>
  </si>
  <si>
    <t>一般式</t>
    <rPh sb="0" eb="2">
      <t>イッパン</t>
    </rPh>
    <rPh sb="2" eb="3">
      <t>シキ</t>
    </rPh>
    <phoneticPr fontId="5"/>
  </si>
  <si>
    <t>副式</t>
    <rPh sb="0" eb="1">
      <t>フク</t>
    </rPh>
    <rPh sb="1" eb="2">
      <t>シキ</t>
    </rPh>
    <phoneticPr fontId="5"/>
  </si>
  <si>
    <t>口径
(mm)</t>
    <rPh sb="0" eb="2">
      <t>コウケイ</t>
    </rPh>
    <phoneticPr fontId="5"/>
  </si>
  <si>
    <t>甲</t>
    <rPh sb="0" eb="1">
      <t>コウ</t>
    </rPh>
    <phoneticPr fontId="5"/>
  </si>
  <si>
    <t>乙</t>
    <rPh sb="0" eb="1">
      <t>オツ</t>
    </rPh>
    <phoneticPr fontId="5"/>
  </si>
  <si>
    <t>曲管</t>
    <rPh sb="0" eb="1">
      <t>キョク</t>
    </rPh>
    <rPh sb="1" eb="2">
      <t>カン</t>
    </rPh>
    <phoneticPr fontId="5"/>
  </si>
  <si>
    <t>分水栓</t>
    <rPh sb="0" eb="2">
      <t>ブンスイ</t>
    </rPh>
    <rPh sb="2" eb="3">
      <t>セン</t>
    </rPh>
    <phoneticPr fontId="5"/>
  </si>
  <si>
    <t>ストップバルブ
(玉形弁)</t>
    <rPh sb="9" eb="10">
      <t>タマ</t>
    </rPh>
    <rPh sb="10" eb="11">
      <t>カタ</t>
    </rPh>
    <rPh sb="11" eb="12">
      <t>ベン</t>
    </rPh>
    <phoneticPr fontId="5"/>
  </si>
  <si>
    <t>フート弁
アングル弁</t>
    <rPh sb="3" eb="4">
      <t>ベン</t>
    </rPh>
    <rPh sb="9" eb="10">
      <t>ベン</t>
    </rPh>
    <phoneticPr fontId="5"/>
  </si>
  <si>
    <t>＊各種給水用具は、標準使用水量に対応する損失水頭の直管換算です。</t>
    <rPh sb="1" eb="3">
      <t>カクシュ</t>
    </rPh>
    <rPh sb="3" eb="5">
      <t>キュウスイ</t>
    </rPh>
    <rPh sb="5" eb="7">
      <t>ヨウグ</t>
    </rPh>
    <rPh sb="9" eb="11">
      <t>ヒョウジュン</t>
    </rPh>
    <rPh sb="11" eb="13">
      <t>シヨウ</t>
    </rPh>
    <rPh sb="13" eb="15">
      <t>スイリョウ</t>
    </rPh>
    <rPh sb="16" eb="18">
      <t>タイオウ</t>
    </rPh>
    <rPh sb="20" eb="22">
      <t>ソンシツ</t>
    </rPh>
    <rPh sb="22" eb="24">
      <t>スイトウ</t>
    </rPh>
    <rPh sb="25" eb="26">
      <t>チョク</t>
    </rPh>
    <rPh sb="26" eb="27">
      <t>カン</t>
    </rPh>
    <rPh sb="27" eb="29">
      <t>カンザン</t>
    </rPh>
    <phoneticPr fontId="5"/>
  </si>
  <si>
    <t>　　ボールタップの項は、参考数値とする。</t>
    <rPh sb="9" eb="10">
      <t>コウ</t>
    </rPh>
    <rPh sb="12" eb="14">
      <t>サンコウ</t>
    </rPh>
    <rPh sb="14" eb="16">
      <t>スウチ</t>
    </rPh>
    <phoneticPr fontId="5"/>
  </si>
  <si>
    <t>玉型弁</t>
    <rPh sb="0" eb="1">
      <t>タマ</t>
    </rPh>
    <rPh sb="1" eb="2">
      <t>ガタ</t>
    </rPh>
    <rPh sb="2" eb="3">
      <t>ベン</t>
    </rPh>
    <phoneticPr fontId="3"/>
  </si>
  <si>
    <t>定水位弁</t>
    <rPh sb="0" eb="1">
      <t>サダ</t>
    </rPh>
    <rPh sb="1" eb="3">
      <t>スイイ</t>
    </rPh>
    <rPh sb="3" eb="4">
      <t>ベン</t>
    </rPh>
    <phoneticPr fontId="3"/>
  </si>
  <si>
    <t>単位：ｍ</t>
    <rPh sb="0" eb="2">
      <t>タンイ</t>
    </rPh>
    <phoneticPr fontId="3"/>
  </si>
  <si>
    <t>表2-1 瞬時最大使用水量早見表（参考）</t>
    <rPh sb="0" eb="1">
      <t>ヒョウ</t>
    </rPh>
    <rPh sb="5" eb="7">
      <t>シュンジ</t>
    </rPh>
    <rPh sb="7" eb="9">
      <t>サイダイ</t>
    </rPh>
    <rPh sb="9" eb="11">
      <t>シヨウ</t>
    </rPh>
    <rPh sb="11" eb="13">
      <t>スイリョウ</t>
    </rPh>
    <rPh sb="13" eb="14">
      <t>ハヤ</t>
    </rPh>
    <rPh sb="14" eb="15">
      <t>ミ</t>
    </rPh>
    <rPh sb="15" eb="16">
      <t>ヒョウ</t>
    </rPh>
    <rPh sb="17" eb="19">
      <t>サンコウ</t>
    </rPh>
    <phoneticPr fontId="3"/>
  </si>
  <si>
    <t>流量(㍑/min)</t>
    <rPh sb="0" eb="2">
      <t>リュウリョウ</t>
    </rPh>
    <phoneticPr fontId="3"/>
  </si>
  <si>
    <t>管直径(mm)</t>
    <rPh sb="0" eb="1">
      <t>カン</t>
    </rPh>
    <rPh sb="1" eb="3">
      <t>チョッケイ</t>
    </rPh>
    <phoneticPr fontId="3"/>
  </si>
  <si>
    <t>管延長(m)</t>
    <rPh sb="0" eb="1">
      <t>カン</t>
    </rPh>
    <rPh sb="1" eb="3">
      <t>エンチョウ</t>
    </rPh>
    <phoneticPr fontId="3"/>
  </si>
  <si>
    <t>流量(㍑/sec)</t>
    <rPh sb="0" eb="2">
      <t>リュウリョウ</t>
    </rPh>
    <phoneticPr fontId="3"/>
  </si>
  <si>
    <t>名称</t>
    <rPh sb="0" eb="2">
      <t>メイショウ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</si>
  <si>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</si>
  <si>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</si>
  <si>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断面積</t>
    <rPh sb="0" eb="2">
      <t>ダンメン</t>
    </rPh>
    <rPh sb="2" eb="3">
      <t>セキ</t>
    </rPh>
    <phoneticPr fontId="3"/>
  </si>
  <si>
    <t>㎡</t>
    <phoneticPr fontId="3"/>
  </si>
  <si>
    <t>計算結果</t>
    <rPh sb="0" eb="2">
      <t>ケイサン</t>
    </rPh>
    <rPh sb="2" eb="4">
      <t>ケッカ</t>
    </rPh>
    <phoneticPr fontId="3"/>
  </si>
  <si>
    <t>管内平均流速</t>
    <rPh sb="0" eb="2">
      <t>カンナイ</t>
    </rPh>
    <rPh sb="2" eb="4">
      <t>ヘイキン</t>
    </rPh>
    <rPh sb="4" eb="6">
      <t>リュウソク</t>
    </rPh>
    <phoneticPr fontId="3"/>
  </si>
  <si>
    <t>(m/sec)</t>
    <phoneticPr fontId="3"/>
  </si>
  <si>
    <t>損失水頭</t>
    <rPh sb="0" eb="2">
      <t>ソンシツ</t>
    </rPh>
    <rPh sb="2" eb="4">
      <t>スイトウ</t>
    </rPh>
    <phoneticPr fontId="3"/>
  </si>
  <si>
    <t>(ｍ)</t>
    <phoneticPr fontId="3"/>
  </si>
  <si>
    <t>流速係数</t>
    <rPh sb="0" eb="2">
      <t>リュウソク</t>
    </rPh>
    <rPh sb="2" eb="4">
      <t>ケイスウ</t>
    </rPh>
    <phoneticPr fontId="3"/>
  </si>
  <si>
    <t>10戸未満</t>
    <rPh sb="2" eb="3">
      <t>コ</t>
    </rPh>
    <rPh sb="3" eb="5">
      <t>ミマン</t>
    </rPh>
    <phoneticPr fontId="3"/>
  </si>
  <si>
    <t>10以上600未満</t>
    <rPh sb="2" eb="4">
      <t>イジョウ</t>
    </rPh>
    <rPh sb="7" eb="9">
      <t>ミマン</t>
    </rPh>
    <phoneticPr fontId="3"/>
  </si>
  <si>
    <t>戸   数</t>
    <rPh sb="0" eb="1">
      <t>コ</t>
    </rPh>
    <rPh sb="4" eb="5">
      <t>スウ</t>
    </rPh>
    <phoneticPr fontId="3"/>
  </si>
  <si>
    <t>所要水頭</t>
    <phoneticPr fontId="3"/>
  </si>
  <si>
    <t>使用水量</t>
    <phoneticPr fontId="3"/>
  </si>
  <si>
    <t>管内</t>
    <phoneticPr fontId="3"/>
  </si>
  <si>
    <t>平均流速</t>
    <phoneticPr fontId="3"/>
  </si>
  <si>
    <t>表2-7 動水勾配早見表（ウエストン公式）</t>
    <rPh sb="0" eb="1">
      <t>ヒョウ</t>
    </rPh>
    <rPh sb="5" eb="6">
      <t>ドウ</t>
    </rPh>
    <rPh sb="6" eb="7">
      <t>スイ</t>
    </rPh>
    <rPh sb="7" eb="9">
      <t>コウバイ</t>
    </rPh>
    <rPh sb="9" eb="11">
      <t>ハヤミ</t>
    </rPh>
    <rPh sb="11" eb="12">
      <t>ヒョウ</t>
    </rPh>
    <rPh sb="18" eb="20">
      <t>コウシキ</t>
    </rPh>
    <phoneticPr fontId="3"/>
  </si>
  <si>
    <t>表2-8 動水勾配早見表（ヘーゼン・ウイリアムズ公式）</t>
    <rPh sb="0" eb="1">
      <t>ヒョウ</t>
    </rPh>
    <rPh sb="5" eb="6">
      <t>ドウ</t>
    </rPh>
    <rPh sb="6" eb="7">
      <t>スイ</t>
    </rPh>
    <rPh sb="7" eb="9">
      <t>コウバイ</t>
    </rPh>
    <rPh sb="9" eb="11">
      <t>ハヤミ</t>
    </rPh>
    <rPh sb="11" eb="12">
      <t>ヒョウ</t>
    </rPh>
    <rPh sb="24" eb="26">
      <t>コウシキ</t>
    </rPh>
    <phoneticPr fontId="3"/>
  </si>
  <si>
    <t>流量
sce</t>
    <rPh sb="0" eb="2">
      <t>リュウリョウ</t>
    </rPh>
    <phoneticPr fontId="3"/>
  </si>
  <si>
    <t>流量
min</t>
    <rPh sb="0" eb="2">
      <t>リュウリョウ</t>
    </rPh>
    <phoneticPr fontId="3"/>
  </si>
  <si>
    <t>表2-10 各流量における口径別摩擦損失水頭表</t>
    <rPh sb="0" eb="1">
      <t>ヒョウ</t>
    </rPh>
    <rPh sb="6" eb="7">
      <t>カク</t>
    </rPh>
    <rPh sb="7" eb="9">
      <t>リュウリョウ</t>
    </rPh>
    <rPh sb="13" eb="15">
      <t>コウケイ</t>
    </rPh>
    <rPh sb="15" eb="16">
      <t>ベツ</t>
    </rPh>
    <rPh sb="16" eb="18">
      <t>マサツ</t>
    </rPh>
    <rPh sb="18" eb="20">
      <t>ソンシツ</t>
    </rPh>
    <rPh sb="20" eb="22">
      <t>スイトウ</t>
    </rPh>
    <rPh sb="22" eb="23">
      <t>ヒョウ</t>
    </rPh>
    <phoneticPr fontId="3"/>
  </si>
  <si>
    <t>用水用具数</t>
    <rPh sb="0" eb="2">
      <t>ヨウスイ</t>
    </rPh>
    <rPh sb="2" eb="4">
      <t>ヨウグ</t>
    </rPh>
    <rPh sb="4" eb="5">
      <t>スウ</t>
    </rPh>
    <phoneticPr fontId="3"/>
  </si>
  <si>
    <t>（個）</t>
    <rPh sb="1" eb="2">
      <t>コ</t>
    </rPh>
    <phoneticPr fontId="3"/>
  </si>
  <si>
    <t>同時使用用具数</t>
    <rPh sb="0" eb="2">
      <t>ドウジ</t>
    </rPh>
    <rPh sb="2" eb="4">
      <t>シヨウ</t>
    </rPh>
    <rPh sb="4" eb="6">
      <t>ヨウグ</t>
    </rPh>
    <rPh sb="6" eb="7">
      <t>スウ</t>
    </rPh>
    <phoneticPr fontId="3"/>
  </si>
  <si>
    <t>用途</t>
    <rPh sb="0" eb="2">
      <t>ヨウト</t>
    </rPh>
    <phoneticPr fontId="3"/>
  </si>
  <si>
    <t>備考</t>
    <rPh sb="0" eb="2">
      <t>ビコウ</t>
    </rPh>
    <phoneticPr fontId="3"/>
  </si>
  <si>
    <t>給水用具の口径</t>
    <rPh sb="0" eb="2">
      <t>キュウスイ</t>
    </rPh>
    <rPh sb="2" eb="4">
      <t>ヨウグ</t>
    </rPh>
    <rPh sb="5" eb="7">
      <t>コウケイ</t>
    </rPh>
    <phoneticPr fontId="3"/>
  </si>
  <si>
    <t>給水用具</t>
    <rPh sb="0" eb="2">
      <t>キュウスイ</t>
    </rPh>
    <rPh sb="2" eb="4">
      <t>ヨウグ</t>
    </rPh>
    <phoneticPr fontId="3"/>
  </si>
  <si>
    <t>水栓</t>
    <rPh sb="0" eb="1">
      <t>スイ</t>
    </rPh>
    <rPh sb="1" eb="2">
      <t>セン</t>
    </rPh>
    <phoneticPr fontId="3"/>
  </si>
  <si>
    <t>器具給水負荷単位</t>
    <rPh sb="0" eb="2">
      <t>キグ</t>
    </rPh>
    <rPh sb="2" eb="4">
      <t>キュウスイ</t>
    </rPh>
    <rPh sb="4" eb="6">
      <t>フカ</t>
    </rPh>
    <rPh sb="6" eb="8">
      <t>タンイ</t>
    </rPh>
    <phoneticPr fontId="3"/>
  </si>
  <si>
    <t>公共用及び事業用</t>
    <rPh sb="0" eb="2">
      <t>コウキョウ</t>
    </rPh>
    <rPh sb="2" eb="3">
      <t>ヨウ</t>
    </rPh>
    <rPh sb="3" eb="4">
      <t>オヨ</t>
    </rPh>
    <rPh sb="5" eb="8">
      <t>ジギョウヨウ</t>
    </rPh>
    <phoneticPr fontId="3"/>
  </si>
  <si>
    <t>個人用</t>
    <rPh sb="0" eb="3">
      <t>コジンヨウ</t>
    </rPh>
    <phoneticPr fontId="3"/>
  </si>
  <si>
    <t>台所流し</t>
    <rPh sb="0" eb="2">
      <t>ダイドコロ</t>
    </rPh>
    <rPh sb="2" eb="3">
      <t>ナガ</t>
    </rPh>
    <phoneticPr fontId="3"/>
  </si>
  <si>
    <t>※31個以上は10個毎に1個増</t>
    <rPh sb="3" eb="4">
      <t>コ</t>
    </rPh>
    <rPh sb="4" eb="6">
      <t>イジョウ</t>
    </rPh>
    <rPh sb="9" eb="10">
      <t>コ</t>
    </rPh>
    <rPh sb="10" eb="11">
      <t>マイ</t>
    </rPh>
    <rPh sb="13" eb="14">
      <t>コ</t>
    </rPh>
    <rPh sb="14" eb="15">
      <t>ゾウ</t>
    </rPh>
    <phoneticPr fontId="3"/>
  </si>
  <si>
    <t>H7年版</t>
    <rPh sb="2" eb="4">
      <t>ネンバン</t>
    </rPh>
    <phoneticPr fontId="3"/>
  </si>
  <si>
    <t>大便器</t>
    <rPh sb="0" eb="1">
      <t>ダイ</t>
    </rPh>
    <rPh sb="1" eb="3">
      <t>ベンキ</t>
    </rPh>
    <phoneticPr fontId="3"/>
  </si>
  <si>
    <t>小便器</t>
    <rPh sb="0" eb="3">
      <t>ショウベンキ</t>
    </rPh>
    <phoneticPr fontId="3"/>
  </si>
  <si>
    <t>洗浄弁（F・V）</t>
    <rPh sb="0" eb="2">
      <t>センジョウ</t>
    </rPh>
    <rPh sb="2" eb="3">
      <t>ベン</t>
    </rPh>
    <phoneticPr fontId="3"/>
  </si>
  <si>
    <t>1回(4～6秒)の排出量 2～3L</t>
    <rPh sb="1" eb="2">
      <t>カイ</t>
    </rPh>
    <rPh sb="6" eb="7">
      <t>ビョウ</t>
    </rPh>
    <rPh sb="9" eb="11">
      <t>ハイシュツ</t>
    </rPh>
    <rPh sb="11" eb="12">
      <t>リョウ</t>
    </rPh>
    <phoneticPr fontId="3"/>
  </si>
  <si>
    <t>給水管口径</t>
    <rPh sb="0" eb="2">
      <t>キュウスイ</t>
    </rPh>
    <rPh sb="2" eb="3">
      <t>カン</t>
    </rPh>
    <rPh sb="3" eb="5">
      <t>コウケイ</t>
    </rPh>
    <phoneticPr fontId="3"/>
  </si>
  <si>
    <t>25㎜以上</t>
    <rPh sb="3" eb="5">
      <t>イジョウ</t>
    </rPh>
    <phoneticPr fontId="3"/>
  </si>
  <si>
    <t>水圧</t>
    <rPh sb="0" eb="2">
      <t>スイアツ</t>
    </rPh>
    <phoneticPr fontId="3"/>
  </si>
  <si>
    <t>管長(m)</t>
    <rPh sb="0" eb="1">
      <t>カン</t>
    </rPh>
    <rPh sb="1" eb="2">
      <t>チョウ</t>
    </rPh>
    <phoneticPr fontId="3"/>
  </si>
  <si>
    <t>5栓まで</t>
    <rPh sb="1" eb="2">
      <t>セン</t>
    </rPh>
    <phoneticPr fontId="3"/>
  </si>
  <si>
    <t>15栓まで</t>
    <rPh sb="2" eb="3">
      <t>セン</t>
    </rPh>
    <phoneticPr fontId="3"/>
  </si>
  <si>
    <t>水利計算のうえ計上のこと</t>
    <rPh sb="0" eb="2">
      <t>スイリ</t>
    </rPh>
    <rPh sb="2" eb="4">
      <t>ケイサン</t>
    </rPh>
    <rPh sb="7" eb="9">
      <t>ケイジョウ</t>
    </rPh>
    <phoneticPr fontId="3"/>
  </si>
  <si>
    <t>Weston公式</t>
    <rPh sb="6" eb="8">
      <t>コウシキ</t>
    </rPh>
    <phoneticPr fontId="3"/>
  </si>
  <si>
    <t>Hazen-Willams公式</t>
    <phoneticPr fontId="3"/>
  </si>
  <si>
    <t>器具給水負荷単位数</t>
    <rPh sb="0" eb="2">
      <t>キグ</t>
    </rPh>
    <rPh sb="2" eb="4">
      <t>キュウスイ</t>
    </rPh>
    <rPh sb="4" eb="6">
      <t>フカ</t>
    </rPh>
    <rPh sb="6" eb="8">
      <t>タンイ</t>
    </rPh>
    <rPh sb="8" eb="9">
      <t>スウ</t>
    </rPh>
    <phoneticPr fontId="3"/>
  </si>
  <si>
    <t>同時使用水量(L/分)</t>
    <rPh sb="0" eb="2">
      <t>ドウジ</t>
    </rPh>
    <rPh sb="2" eb="4">
      <t>シヨウ</t>
    </rPh>
    <rPh sb="4" eb="6">
      <t>スイリョウ</t>
    </rPh>
    <rPh sb="9" eb="10">
      <t>フン</t>
    </rPh>
    <phoneticPr fontId="3"/>
  </si>
  <si>
    <t>瞬間最大使用水量 P9参照</t>
    <rPh sb="0" eb="2">
      <t>シュンカン</t>
    </rPh>
    <rPh sb="2" eb="4">
      <t>サイダイ</t>
    </rPh>
    <rPh sb="4" eb="6">
      <t>シヨウ</t>
    </rPh>
    <rPh sb="6" eb="8">
      <t>スイリョウ</t>
    </rPh>
    <rPh sb="11" eb="13">
      <t>サンショウ</t>
    </rPh>
    <phoneticPr fontId="3"/>
  </si>
  <si>
    <t>同時使用水量 P17参照</t>
    <rPh sb="0" eb="2">
      <t>ドウジ</t>
    </rPh>
    <rPh sb="2" eb="4">
      <t>シヨウ</t>
    </rPh>
    <rPh sb="4" eb="6">
      <t>スイリョウ</t>
    </rPh>
    <rPh sb="10" eb="12">
      <t>サンショウ</t>
    </rPh>
    <phoneticPr fontId="3"/>
  </si>
  <si>
    <t>ウェストン公式による損失水頭 P22参照　単位(ｍ)</t>
    <rPh sb="5" eb="7">
      <t>コウシキ</t>
    </rPh>
    <rPh sb="10" eb="12">
      <t>ソンシツ</t>
    </rPh>
    <rPh sb="12" eb="14">
      <t>スイトウ</t>
    </rPh>
    <rPh sb="18" eb="20">
      <t>サンショウ</t>
    </rPh>
    <phoneticPr fontId="3"/>
  </si>
  <si>
    <t>ヘーゼン・ウィリアム公式による損失水頭　P23参照　単位(ｍ)</t>
    <rPh sb="10" eb="12">
      <t>コウシキ</t>
    </rPh>
    <rPh sb="15" eb="17">
      <t>ソンシツ</t>
    </rPh>
    <rPh sb="17" eb="19">
      <t>スイトウ</t>
    </rPh>
    <rPh sb="23" eb="25">
      <t>サンショウ</t>
    </rPh>
    <phoneticPr fontId="3"/>
  </si>
  <si>
    <t>管合成</t>
    <rPh sb="0" eb="1">
      <t>カン</t>
    </rPh>
    <rPh sb="1" eb="3">
      <t>ゴウセイ</t>
    </rPh>
    <phoneticPr fontId="3"/>
  </si>
  <si>
    <t>単位：㎜</t>
    <rPh sb="0" eb="2">
      <t>タンイ</t>
    </rPh>
    <phoneticPr fontId="3"/>
  </si>
  <si>
    <t>※最低φ75㎜</t>
    <rPh sb="1" eb="3">
      <t>サイテイ</t>
    </rPh>
    <phoneticPr fontId="3"/>
  </si>
  <si>
    <t>口径２</t>
    <rPh sb="0" eb="2">
      <t>コウケイ</t>
    </rPh>
    <phoneticPr fontId="3"/>
  </si>
  <si>
    <t>口径１</t>
    <rPh sb="0" eb="2">
      <t>コウケイ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</si>
  <si>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</si>
  <si>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</si>
  <si>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</si>
  <si>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</si>
  <si>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</si>
  <si>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洗面器</t>
    <rPh sb="0" eb="3">
      <t>センメンキ</t>
    </rPh>
    <phoneticPr fontId="3"/>
  </si>
  <si>
    <t>手洗器</t>
    <rPh sb="0" eb="2">
      <t>テアライ</t>
    </rPh>
    <rPh sb="2" eb="3">
      <t>キ</t>
    </rPh>
    <phoneticPr fontId="3"/>
  </si>
  <si>
    <t>医療用洗面所</t>
    <rPh sb="0" eb="3">
      <t>イリョウヨウ</t>
    </rPh>
    <rPh sb="3" eb="5">
      <t>センメン</t>
    </rPh>
    <rPh sb="5" eb="6">
      <t>ジョ</t>
    </rPh>
    <phoneticPr fontId="3"/>
  </si>
  <si>
    <t>事務室用流し</t>
    <rPh sb="0" eb="3">
      <t>ジムシツ</t>
    </rPh>
    <rPh sb="3" eb="4">
      <t>ヨウ</t>
    </rPh>
    <rPh sb="4" eb="5">
      <t>ナガ</t>
    </rPh>
    <phoneticPr fontId="3"/>
  </si>
  <si>
    <t>⑥</t>
    <phoneticPr fontId="3"/>
  </si>
  <si>
    <t>主管径</t>
    <rPh sb="0" eb="1">
      <t>シュ</t>
    </rPh>
    <rPh sb="1" eb="2">
      <t>カン</t>
    </rPh>
    <rPh sb="2" eb="3">
      <t>ケイ</t>
    </rPh>
    <phoneticPr fontId="3"/>
  </si>
  <si>
    <t>岐管又は水栓</t>
    <rPh sb="0" eb="1">
      <t>チマタ</t>
    </rPh>
    <rPh sb="1" eb="2">
      <t>カン</t>
    </rPh>
    <rPh sb="2" eb="3">
      <t>マタ</t>
    </rPh>
    <rPh sb="4" eb="6">
      <t>スイセン</t>
    </rPh>
    <phoneticPr fontId="3"/>
  </si>
  <si>
    <t>N</t>
    <phoneticPr fontId="3"/>
  </si>
  <si>
    <t>管径均等(Hazen-Willams公式より)</t>
    <rPh sb="0" eb="1">
      <t>カン</t>
    </rPh>
    <rPh sb="1" eb="2">
      <t>ケイ</t>
    </rPh>
    <rPh sb="2" eb="4">
      <t>キントウ</t>
    </rPh>
    <phoneticPr fontId="3"/>
  </si>
  <si>
    <t>表3-1 給水管口径と分岐標準表</t>
    <rPh sb="0" eb="1">
      <t>ヒョウ</t>
    </rPh>
    <rPh sb="5" eb="7">
      <t>キュウスイ</t>
    </rPh>
    <rPh sb="7" eb="8">
      <t>カン</t>
    </rPh>
    <rPh sb="8" eb="10">
      <t>コウケイ</t>
    </rPh>
    <rPh sb="11" eb="13">
      <t>ブンキ</t>
    </rPh>
    <rPh sb="13" eb="15">
      <t>ヒョウジュン</t>
    </rPh>
    <rPh sb="15" eb="16">
      <t>ヒョウ</t>
    </rPh>
    <phoneticPr fontId="3"/>
  </si>
  <si>
    <t>表2-9 給水用具損失水頭の直管換算長</t>
    <rPh sb="0" eb="1">
      <t>ヒョウ</t>
    </rPh>
    <rPh sb="5" eb="7">
      <t>キュウスイ</t>
    </rPh>
    <rPh sb="7" eb="9">
      <t>ヨウグ</t>
    </rPh>
    <rPh sb="9" eb="11">
      <t>ソンシツ</t>
    </rPh>
    <rPh sb="11" eb="12">
      <t>ミズ</t>
    </rPh>
    <rPh sb="12" eb="13">
      <t>アタマ</t>
    </rPh>
    <rPh sb="14" eb="16">
      <t>チョッカン</t>
    </rPh>
    <phoneticPr fontId="3"/>
  </si>
  <si>
    <t>（流量：L/min、摩擦損失：mmAq/m）</t>
    <rPh sb="1" eb="3">
      <t>リュウリョウ</t>
    </rPh>
    <rPh sb="10" eb="12">
      <t>マサツ</t>
    </rPh>
    <rPh sb="12" eb="14">
      <t>ソンシツ</t>
    </rPh>
    <phoneticPr fontId="3"/>
  </si>
  <si>
    <t>表2-6 同時使用率を考慮した給水用具数</t>
    <rPh sb="0" eb="1">
      <t>ヒョウ</t>
    </rPh>
    <rPh sb="5" eb="7">
      <t>ドウジ</t>
    </rPh>
    <rPh sb="7" eb="9">
      <t>シヨウ</t>
    </rPh>
    <rPh sb="9" eb="10">
      <t>リツ</t>
    </rPh>
    <rPh sb="11" eb="13">
      <t>コウリョ</t>
    </rPh>
    <rPh sb="15" eb="17">
      <t>キュウスイ</t>
    </rPh>
    <rPh sb="17" eb="19">
      <t>ヨウグ</t>
    </rPh>
    <rPh sb="19" eb="20">
      <t>スウ</t>
    </rPh>
    <phoneticPr fontId="3"/>
  </si>
  <si>
    <t>動水勾配（‰）</t>
  </si>
  <si>
    <t>L/sec</t>
  </si>
  <si>
    <t>単純合成</t>
    <rPh sb="0" eb="2">
      <t>タンジュン</t>
    </rPh>
    <rPh sb="2" eb="4">
      <t>ゴウセイ</t>
    </rPh>
    <phoneticPr fontId="3"/>
  </si>
  <si>
    <t>表3-7-1 管種使用区分</t>
    <rPh sb="0" eb="1">
      <t>ヒョウ</t>
    </rPh>
    <rPh sb="7" eb="8">
      <t>カン</t>
    </rPh>
    <rPh sb="8" eb="9">
      <t>シュ</t>
    </rPh>
    <rPh sb="9" eb="11">
      <t>シヨウ</t>
    </rPh>
    <rPh sb="11" eb="13">
      <t>クブン</t>
    </rPh>
    <phoneticPr fontId="3"/>
  </si>
  <si>
    <t>使用区分</t>
    <rPh sb="0" eb="2">
      <t>シヨウ</t>
    </rPh>
    <rPh sb="2" eb="4">
      <t>クブン</t>
    </rPh>
    <phoneticPr fontId="3"/>
  </si>
  <si>
    <t>管種</t>
    <rPh sb="0" eb="1">
      <t>カン</t>
    </rPh>
    <rPh sb="1" eb="2">
      <t>シュ</t>
    </rPh>
    <phoneticPr fontId="3"/>
  </si>
  <si>
    <t>道路横断配管</t>
    <rPh sb="0" eb="2">
      <t>ドウロ</t>
    </rPh>
    <rPh sb="2" eb="4">
      <t>オウダン</t>
    </rPh>
    <rPh sb="4" eb="6">
      <t>ハイカン</t>
    </rPh>
    <phoneticPr fontId="3"/>
  </si>
  <si>
    <t>75㎜以上</t>
    <rPh sb="3" eb="5">
      <t>イジョウ</t>
    </rPh>
    <phoneticPr fontId="3"/>
  </si>
  <si>
    <t>道路縦断配管</t>
    <rPh sb="0" eb="2">
      <t>ドウロ</t>
    </rPh>
    <rPh sb="2" eb="4">
      <t>ジュウダン</t>
    </rPh>
    <rPh sb="4" eb="6">
      <t>ハイカン</t>
    </rPh>
    <phoneticPr fontId="3"/>
  </si>
  <si>
    <t>屋外埋設管</t>
    <rPh sb="0" eb="2">
      <t>オクガイ</t>
    </rPh>
    <rPh sb="2" eb="4">
      <t>マイセツ</t>
    </rPh>
    <rPh sb="4" eb="5">
      <t>カン</t>
    </rPh>
    <phoneticPr fontId="3"/>
  </si>
  <si>
    <t>水路等の伏越し</t>
    <rPh sb="0" eb="3">
      <t>スイロトウ</t>
    </rPh>
    <rPh sb="4" eb="5">
      <t>フ</t>
    </rPh>
    <rPh sb="5" eb="6">
      <t>ゴ</t>
    </rPh>
    <phoneticPr fontId="3"/>
  </si>
  <si>
    <t>石積み裏側等の埋設</t>
    <rPh sb="0" eb="1">
      <t>イシ</t>
    </rPh>
    <rPh sb="1" eb="2">
      <t>ヅ</t>
    </rPh>
    <rPh sb="3" eb="6">
      <t>ウラガワトウ</t>
    </rPh>
    <rPh sb="7" eb="9">
      <t>マイセツ</t>
    </rPh>
    <phoneticPr fontId="3"/>
  </si>
  <si>
    <t>屋外露出配管</t>
    <rPh sb="0" eb="2">
      <t>オクガイ</t>
    </rPh>
    <rPh sb="2" eb="4">
      <t>ロシュツ</t>
    </rPh>
    <rPh sb="4" eb="6">
      <t>ハイカン</t>
    </rPh>
    <phoneticPr fontId="3"/>
  </si>
  <si>
    <t>水路等の添架</t>
    <rPh sb="0" eb="3">
      <t>スイロトウ</t>
    </rPh>
    <rPh sb="4" eb="5">
      <t>ソ</t>
    </rPh>
    <rPh sb="5" eb="6">
      <t>カ</t>
    </rPh>
    <phoneticPr fontId="3"/>
  </si>
  <si>
    <t>石積み等の立ち上り管</t>
    <rPh sb="0" eb="1">
      <t>イシ</t>
    </rPh>
    <rPh sb="1" eb="2">
      <t>ヅ</t>
    </rPh>
    <rPh sb="3" eb="4">
      <t>トウ</t>
    </rPh>
    <rPh sb="5" eb="6">
      <t>タ</t>
    </rPh>
    <rPh sb="7" eb="8">
      <t>アガ</t>
    </rPh>
    <rPh sb="9" eb="10">
      <t>カン</t>
    </rPh>
    <phoneticPr fontId="3"/>
  </si>
  <si>
    <t>仕切弁前後</t>
    <rPh sb="0" eb="3">
      <t>シキリベン</t>
    </rPh>
    <rPh sb="3" eb="5">
      <t>ゼンゴ</t>
    </rPh>
    <phoneticPr fontId="3"/>
  </si>
  <si>
    <t>止水栓前後</t>
    <rPh sb="0" eb="3">
      <t>シスイセン</t>
    </rPh>
    <rPh sb="3" eb="5">
      <t>ゼンゴ</t>
    </rPh>
    <phoneticPr fontId="3"/>
  </si>
  <si>
    <t>50㎜以下</t>
    <rPh sb="3" eb="5">
      <t>イカ</t>
    </rPh>
    <phoneticPr fontId="3"/>
  </si>
  <si>
    <t>40㎜以下</t>
    <rPh sb="3" eb="5">
      <t>イカ</t>
    </rPh>
    <phoneticPr fontId="3"/>
  </si>
  <si>
    <t>20㎜以上</t>
    <rPh sb="3" eb="5">
      <t>イジョウ</t>
    </rPh>
    <phoneticPr fontId="3"/>
  </si>
  <si>
    <t>被分岐管</t>
    <rPh sb="0" eb="1">
      <t>ヒ</t>
    </rPh>
    <rPh sb="1" eb="3">
      <t>ブンキ</t>
    </rPh>
    <rPh sb="3" eb="4">
      <t>カン</t>
    </rPh>
    <phoneticPr fontId="3"/>
  </si>
  <si>
    <t>被分岐管口径</t>
    <rPh sb="0" eb="1">
      <t>ヒ</t>
    </rPh>
    <rPh sb="1" eb="3">
      <t>ブンキ</t>
    </rPh>
    <rPh sb="3" eb="4">
      <t>カン</t>
    </rPh>
    <rPh sb="4" eb="6">
      <t>コウケイ</t>
    </rPh>
    <phoneticPr fontId="3"/>
  </si>
  <si>
    <t>分岐管口径</t>
    <rPh sb="0" eb="2">
      <t>ブンキ</t>
    </rPh>
    <rPh sb="2" eb="3">
      <t>カン</t>
    </rPh>
    <rPh sb="3" eb="5">
      <t>コウケイ</t>
    </rPh>
    <phoneticPr fontId="3"/>
  </si>
  <si>
    <t>工事種別</t>
    <rPh sb="0" eb="2">
      <t>コウジ</t>
    </rPh>
    <rPh sb="2" eb="4">
      <t>シュベツ</t>
    </rPh>
    <phoneticPr fontId="3"/>
  </si>
  <si>
    <t>分岐材料</t>
    <rPh sb="0" eb="2">
      <t>ブンキ</t>
    </rPh>
    <rPh sb="2" eb="4">
      <t>ザイリョウ</t>
    </rPh>
    <phoneticPr fontId="3"/>
  </si>
  <si>
    <t>分岐管管主</t>
    <rPh sb="0" eb="2">
      <t>ブンキ</t>
    </rPh>
    <rPh sb="2" eb="3">
      <t>カン</t>
    </rPh>
    <rPh sb="3" eb="5">
      <t>カンシュ</t>
    </rPh>
    <phoneticPr fontId="3"/>
  </si>
  <si>
    <t>250㎜以上</t>
    <rPh sb="4" eb="6">
      <t>イジョウ</t>
    </rPh>
    <phoneticPr fontId="3"/>
  </si>
  <si>
    <t>100㎜以上</t>
    <rPh sb="4" eb="6">
      <t>イジョウ</t>
    </rPh>
    <phoneticPr fontId="3"/>
  </si>
  <si>
    <t>200㎜以上</t>
    <rPh sb="4" eb="6">
      <t>イジョウ</t>
    </rPh>
    <phoneticPr fontId="3"/>
  </si>
  <si>
    <t>25㎜以下</t>
    <rPh sb="3" eb="5">
      <t>イカ</t>
    </rPh>
    <phoneticPr fontId="3"/>
  </si>
  <si>
    <t>割丁字管</t>
    <rPh sb="0" eb="1">
      <t>ワ</t>
    </rPh>
    <rPh sb="1" eb="2">
      <t>テイ</t>
    </rPh>
    <rPh sb="2" eb="3">
      <t>ジ</t>
    </rPh>
    <rPh sb="3" eb="4">
      <t>カン</t>
    </rPh>
    <phoneticPr fontId="3"/>
  </si>
  <si>
    <t>サドル式分水栓</t>
    <rPh sb="3" eb="4">
      <t>シキ</t>
    </rPh>
    <rPh sb="4" eb="7">
      <t>ブンスイセン</t>
    </rPh>
    <phoneticPr fontId="3"/>
  </si>
  <si>
    <t>ＧＰ用ＬＡチーズ</t>
    <rPh sb="2" eb="3">
      <t>ヨウ</t>
    </rPh>
    <phoneticPr fontId="3"/>
  </si>
  <si>
    <t>不断水工事</t>
    <rPh sb="0" eb="2">
      <t>フダン</t>
    </rPh>
    <rPh sb="2" eb="3">
      <t>スイ</t>
    </rPh>
    <rPh sb="3" eb="5">
      <t>コウジ</t>
    </rPh>
    <phoneticPr fontId="3"/>
  </si>
  <si>
    <t>弁付き割丁字管
（フランジ形）</t>
    <rPh sb="0" eb="1">
      <t>ベン</t>
    </rPh>
    <rPh sb="1" eb="2">
      <t>ツキ</t>
    </rPh>
    <rPh sb="3" eb="7">
      <t>ワリテイジカン</t>
    </rPh>
    <phoneticPr fontId="3"/>
  </si>
  <si>
    <t>弁付き割丁字管
サドル式分水栓</t>
    <rPh sb="0" eb="1">
      <t>ベン</t>
    </rPh>
    <rPh sb="1" eb="2">
      <t>ツキ</t>
    </rPh>
    <rPh sb="3" eb="7">
      <t>ワリテイジカン</t>
    </rPh>
    <phoneticPr fontId="3"/>
  </si>
  <si>
    <t>ＶＰ用ＴＳチーズ
ＰＰ用チーズ</t>
    <rPh sb="2" eb="3">
      <t>ヨウ</t>
    </rPh>
    <phoneticPr fontId="3"/>
  </si>
  <si>
    <t>切取り工事</t>
    <rPh sb="0" eb="2">
      <t>キリト</t>
    </rPh>
    <rPh sb="3" eb="5">
      <t>コウジ</t>
    </rPh>
    <phoneticPr fontId="3"/>
  </si>
  <si>
    <t>ＧＰ用ＬＡチーズ
ＶＰ用ＴＳチーズ
ＰＰ用チーズ</t>
    <rPh sb="2" eb="3">
      <t>ヨウ</t>
    </rPh>
    <rPh sb="11" eb="12">
      <t>ヨウ</t>
    </rPh>
    <rPh sb="20" eb="21">
      <t>ヨウ</t>
    </rPh>
    <phoneticPr fontId="3"/>
  </si>
  <si>
    <t>ＳＳＰ用チーズ</t>
    <rPh sb="3" eb="4">
      <t>ヨウ</t>
    </rPh>
    <phoneticPr fontId="3"/>
  </si>
  <si>
    <t>30㎜以下</t>
    <rPh sb="3" eb="5">
      <t>イカ</t>
    </rPh>
    <phoneticPr fontId="3"/>
  </si>
  <si>
    <t>類似用途別番号</t>
  </si>
  <si>
    <t>業態名</t>
  </si>
  <si>
    <t>計画1日給水量(L／人／日)</t>
  </si>
  <si>
    <t>対象</t>
  </si>
  <si>
    <t>対象当り給水量(L)</t>
  </si>
  <si>
    <t>給水時間(h)</t>
  </si>
  <si>
    <t>総合病院</t>
  </si>
  <si>
    <t>病床</t>
  </si>
  <si>
    <t>医師・看護師</t>
  </si>
  <si>
    <t>外来患者</t>
  </si>
  <si>
    <t>病院</t>
  </si>
  <si>
    <t>医院</t>
  </si>
  <si>
    <t>血液疾患クリニック</t>
  </si>
  <si>
    <t>老人福祉施設</t>
  </si>
  <si>
    <t>常住者</t>
  </si>
  <si>
    <t>通院者</t>
  </si>
  <si>
    <t>戸建住宅</t>
  </si>
  <si>
    <t>共同住宅A・独身寮</t>
  </si>
  <si>
    <t>共同住宅B</t>
  </si>
  <si>
    <t>管理人</t>
  </si>
  <si>
    <t>ホテル</t>
  </si>
  <si>
    <t>宿泊客</t>
  </si>
  <si>
    <t>従業員</t>
  </si>
  <si>
    <t>寮・下宿・寄宿舎・合宿所</t>
  </si>
  <si>
    <t>旅館</t>
  </si>
  <si>
    <t>モーテル</t>
  </si>
  <si>
    <t>客室数</t>
  </si>
  <si>
    <t>カプセルホテル</t>
  </si>
  <si>
    <t>官公庁・事務所</t>
  </si>
  <si>
    <t>常勤職員</t>
  </si>
  <si>
    <t>新聞社</t>
  </si>
  <si>
    <t>自衛隊キャンプ宿舎</t>
  </si>
  <si>
    <t>刑務所</t>
  </si>
  <si>
    <t>拘置所</t>
  </si>
  <si>
    <t>保育所・幼稚園</t>
  </si>
  <si>
    <t>園児定員</t>
  </si>
  <si>
    <t>職員</t>
  </si>
  <si>
    <t>小学校</t>
  </si>
  <si>
    <t>生徒定員</t>
  </si>
  <si>
    <t>中学校</t>
  </si>
  <si>
    <t>高等学校・大学・高専・各種専門学校・予備校</t>
  </si>
  <si>
    <t>生徒定員(夜)</t>
  </si>
  <si>
    <t>各種塾・教室</t>
  </si>
  <si>
    <t>図書室・付属図書館</t>
  </si>
  <si>
    <t>延べ利用客</t>
  </si>
  <si>
    <t>飲食店</t>
  </si>
  <si>
    <t>延べ客</t>
  </si>
  <si>
    <t>50～120</t>
  </si>
  <si>
    <t>喫茶室・スナック</t>
  </si>
  <si>
    <t>キャバレー・バー</t>
  </si>
  <si>
    <t>ビヤホール</t>
  </si>
  <si>
    <t>社員食堂</t>
  </si>
  <si>
    <t>給食センター</t>
  </si>
  <si>
    <t>延べ人数</t>
  </si>
  <si>
    <t>結婚式場</t>
  </si>
  <si>
    <t>料亭</t>
  </si>
  <si>
    <t>店舗</t>
  </si>
  <si>
    <t>スーパーマーケット</t>
  </si>
  <si>
    <t>美容院・理容店</t>
  </si>
  <si>
    <t>クリーニング店</t>
  </si>
  <si>
    <t>研究所・試験場</t>
  </si>
  <si>
    <t>工場・作業所・管理室</t>
  </si>
  <si>
    <t>公会堂・集会場</t>
  </si>
  <si>
    <t>劇場・演芸場</t>
  </si>
  <si>
    <t>映画館</t>
  </si>
  <si>
    <t>競技場・体育館・野球場</t>
  </si>
  <si>
    <t>観客</t>
  </si>
  <si>
    <t>選手・従業員</t>
  </si>
  <si>
    <t>スケート場・ボーリング場・遊園地・ゴルフ練習場</t>
  </si>
  <si>
    <t>ゴルフ場クラブハウス</t>
  </si>
  <si>
    <t>プレーヤー</t>
  </si>
  <si>
    <t>プール</t>
  </si>
  <si>
    <t>パチンコ店</t>
  </si>
  <si>
    <t>延べ台数</t>
  </si>
  <si>
    <t>囲碁クラブ・麻雀クラブ・撞球場・卓球場・カラオケ・エアロビクス</t>
  </si>
  <si>
    <t>自動車車庫・駐車場</t>
  </si>
  <si>
    <t>述べ利用客</t>
  </si>
  <si>
    <t>ガソリンスタンド</t>
  </si>
  <si>
    <t>整備員</t>
  </si>
  <si>
    <t>公衆浴場</t>
  </si>
  <si>
    <t>公衆便所・バスターミナル</t>
  </si>
  <si>
    <t>駅</t>
  </si>
  <si>
    <t>駅務員</t>
  </si>
  <si>
    <t>寺院</t>
  </si>
  <si>
    <t>参会者</t>
  </si>
  <si>
    <t>建築用途</t>
  </si>
  <si>
    <t>給水対象人員</t>
  </si>
  <si>
    <t>単位当り算定人員</t>
  </si>
  <si>
    <t>算定床面積</t>
  </si>
  <si>
    <t>医療施設関係</t>
  </si>
  <si>
    <t>総合病院・病院</t>
  </si>
  <si>
    <t>1床当り1人</t>
  </si>
  <si>
    <t>外来者は計画外来患者数(定員)</t>
  </si>
  <si>
    <t>医院・診療所</t>
  </si>
  <si>
    <t>外来者は透析機械台数(定員)</t>
  </si>
  <si>
    <t>同時に収容し得る人員(定員)</t>
  </si>
  <si>
    <t>住宅施設関係</t>
  </si>
  <si>
    <t>1戸当り4人</t>
  </si>
  <si>
    <t>1戸が1居室で構成されている場合</t>
  </si>
  <si>
    <t>1K・1LDK　1.0人</t>
  </si>
  <si>
    <t>1LDK　2.0人</t>
  </si>
  <si>
    <t>2K・2DK・2LDK　3.5人</t>
  </si>
  <si>
    <t>3K・3DK・3LDK　4.0人</t>
  </si>
  <si>
    <t>4K・4DK・4LDK　4.5人</t>
  </si>
  <si>
    <t>5K・5DK・5LDK　5.0人</t>
  </si>
  <si>
    <t>宿泊施設関係</t>
  </si>
  <si>
    <t>食事付きの場合は1食につき20Lを別途加算</t>
  </si>
  <si>
    <t>青年の家・ユースホステル</t>
  </si>
  <si>
    <t>ホテル・旅館・モーテル</t>
  </si>
  <si>
    <t>事務所関係</t>
  </si>
  <si>
    <t>事務室</t>
  </si>
  <si>
    <t>事務室の床面積</t>
  </si>
  <si>
    <t>行政官庁等外来者の多い事務所</t>
  </si>
  <si>
    <t>官庁の外来者は庁舎職員数の0.05～0.1</t>
  </si>
  <si>
    <t>学校施設関係</t>
  </si>
  <si>
    <t>小・中学校・高校・大学・高専・各種専門学校・予備校</t>
  </si>
  <si>
    <t>夜間の課程を併設している場合は、その定員を加算</t>
  </si>
  <si>
    <t>図書館・大学付属図書館</t>
  </si>
  <si>
    <t>同時に収容し得る人員(定員)の1／2</t>
  </si>
  <si>
    <t>大学付属体育館</t>
  </si>
  <si>
    <t>n＝(20c＋120u)÷8×t　(t＝0.5～1.0)</t>
  </si>
  <si>
    <t>n：処理対象人員(人)</t>
  </si>
  <si>
    <t>c：大便器数(個)</t>
  </si>
  <si>
    <t>u：小便器数又は両用便器数(個)</t>
  </si>
  <si>
    <t>t：単位便器当り1日平均使用時間(h)</t>
  </si>
  <si>
    <t>小・中学校・高校用プール</t>
  </si>
  <si>
    <t>(プール給水)</t>
  </si>
  <si>
    <t>3.3％は一時用水　3.0％は補給水量</t>
  </si>
  <si>
    <t>営業用プール</t>
  </si>
  <si>
    <t>利用客数(定員)＋補給水(3.0％)＋逆流水量</t>
  </si>
  <si>
    <t>飲食店舗関係</t>
  </si>
  <si>
    <t>算定床面積は店舗面積</t>
  </si>
  <si>
    <t>喫茶店</t>
  </si>
  <si>
    <t>店舗面積</t>
  </si>
  <si>
    <t>ビヤガーデン　1／2</t>
  </si>
  <si>
    <t>延べ給食数(定員)　1食当り　20L</t>
  </si>
  <si>
    <t>延べ利用客(定員)　1人当り　40L</t>
  </si>
  <si>
    <t>延べ客(定員)　1人当り　40L</t>
  </si>
  <si>
    <t>店舗面積＋作業室面積</t>
  </si>
  <si>
    <t>事務室等は別途計上</t>
  </si>
  <si>
    <t>美容院</t>
  </si>
  <si>
    <t>理容店</t>
  </si>
  <si>
    <t>コインランドリー</t>
  </si>
  <si>
    <t>台数×全自動洗濯機使用水量／台×3回転</t>
  </si>
  <si>
    <t>全自動洗濯機使用水量はカタログ等の資料による</t>
  </si>
  <si>
    <t>市場</t>
  </si>
  <si>
    <t>n＝(20c＋120u)÷8×t　(t＝2.0)</t>
  </si>
  <si>
    <t>研究所作業所関係</t>
  </si>
  <si>
    <t>同時に収容し得る人員(定員)　実験用水加算</t>
  </si>
  <si>
    <t>作業人員(作業用水加算)</t>
  </si>
  <si>
    <t>娯楽集会所施設関係</t>
  </si>
  <si>
    <t>公会堂・集会所</t>
  </si>
  <si>
    <t>延べ利用者(定員)の1／2</t>
  </si>
  <si>
    <t>劇場・演芸場・映画館</t>
  </si>
  <si>
    <t>延べ客(定員)の3／4</t>
  </si>
  <si>
    <t>観覧場・競技場・体育館・野球場</t>
  </si>
  <si>
    <t>ゴルフ練習場・遊園地・ボーリング場・スケート場・バッティング場・ドライブイン</t>
  </si>
  <si>
    <t>n＝(20c＋120u)÷8×t</t>
  </si>
  <si>
    <t>c・u客専用便器数(t＝2.0)</t>
  </si>
  <si>
    <t>18ホールまでは50人、36ホールは100人</t>
  </si>
  <si>
    <t>1台当り25L</t>
  </si>
  <si>
    <t>囲碁クラブ・麻雀クラブ</t>
  </si>
  <si>
    <t>営業用途に供する部分の床面積</t>
  </si>
  <si>
    <t>撞球場・卓球場・ダンスホール</t>
  </si>
  <si>
    <t>エアロビクス</t>
  </si>
  <si>
    <t>延べ客(定員)</t>
  </si>
  <si>
    <t>カラオケ</t>
  </si>
  <si>
    <t>自動車車庫関係</t>
  </si>
  <si>
    <t>n＝(20c＋120u)÷8×t　(t＝0.4～2.0)</t>
  </si>
  <si>
    <t>洗車施設</t>
  </si>
  <si>
    <t>門型　設置台数×18台×L／台＋雑用水</t>
  </si>
  <si>
    <t>(小型車)　1台当り水量はカタログによる</t>
  </si>
  <si>
    <t>門型　実数</t>
  </si>
  <si>
    <t>(大型車)　1台当り水量はカタログによる</t>
  </si>
  <si>
    <t>スプレー式　設置台数(基)×12L／分×5分×18台＋雑用水</t>
  </si>
  <si>
    <t>雑用水：屋外水栓数×口径流量(L)×20分</t>
  </si>
  <si>
    <t>口径13：20L　口径20：40L　口径25：80L</t>
  </si>
  <si>
    <t>上記に属さない施設</t>
  </si>
  <si>
    <t>特殊浴場(サウナ等)等</t>
  </si>
  <si>
    <t>n＝(20c＋120u)÷8×t　(t＝1.0～10.0)</t>
  </si>
  <si>
    <t>男子小用　乗降客×0.06×0.85×4.5L</t>
  </si>
  <si>
    <t>男子大用　乗降客×0.06×0.05×15.0L</t>
  </si>
  <si>
    <t>女子用　乗降客×0.06×0.10×15.0L</t>
  </si>
  <si>
    <t>手洗用　乗降客×0.06×1.00×3.0L</t>
  </si>
  <si>
    <t>寺院床面積</t>
  </si>
  <si>
    <t>庫裡は戸建住宅に準ずる</t>
  </si>
  <si>
    <t>冷却用水</t>
  </si>
  <si>
    <t>冷却補給水(クーリングタワー計算例)</t>
  </si>
  <si>
    <t>冷房能力　(RT)×13L／分×60分×時間×0.015(1RT＝3,320Kcal)</t>
  </si>
  <si>
    <t>〃　(USRT)×17L／分(13L／分)×60分×時間×0.01(0.015)</t>
  </si>
  <si>
    <t>＊</t>
  </si>
  <si>
    <t>総合病院とは最低限、内科・外科・産婦人科・眼科及び耳鼻咽喉科を有し、患者100人以上の収容施設を持つ大病院をいう。</t>
  </si>
  <si>
    <t>病院とは病室を有するもので、患者20人以上の収容施設を持つものをいい、19人以下のものは診療所という。</t>
  </si>
  <si>
    <t>医院とは、医者が個人的に経営し、病院より規模の小さいものをいう。</t>
  </si>
  <si>
    <t>洗濯流し</t>
    <rPh sb="0" eb="2">
      <t>センタク</t>
    </rPh>
    <rPh sb="2" eb="3">
      <t>ナガ</t>
    </rPh>
    <phoneticPr fontId="3"/>
  </si>
  <si>
    <t>洗面器</t>
    <rPh sb="0" eb="3">
      <t>センメンキ</t>
    </rPh>
    <phoneticPr fontId="3"/>
  </si>
  <si>
    <t>浴槽（和式）</t>
    <rPh sb="0" eb="2">
      <t>ヨクソウ</t>
    </rPh>
    <rPh sb="3" eb="5">
      <t>ワシキ</t>
    </rPh>
    <phoneticPr fontId="3"/>
  </si>
  <si>
    <t>浴槽（洋式）</t>
    <rPh sb="0" eb="2">
      <t>ヨクソウ</t>
    </rPh>
    <rPh sb="3" eb="5">
      <t>ヨウシキ</t>
    </rPh>
    <phoneticPr fontId="3"/>
  </si>
  <si>
    <t>小便水洗</t>
    <rPh sb="0" eb="2">
      <t>ショウベン</t>
    </rPh>
    <rPh sb="2" eb="4">
      <t>スイセン</t>
    </rPh>
    <phoneticPr fontId="3"/>
  </si>
  <si>
    <t>小便器（F･T）</t>
    <rPh sb="0" eb="3">
      <t>ショウベンキ</t>
    </rPh>
    <phoneticPr fontId="3"/>
  </si>
  <si>
    <t>小便器（F･V）</t>
    <rPh sb="0" eb="3">
      <t>ショウベンキ</t>
    </rPh>
    <phoneticPr fontId="3"/>
  </si>
  <si>
    <t>大便器（F･T）</t>
    <rPh sb="0" eb="1">
      <t>ダイ</t>
    </rPh>
    <rPh sb="1" eb="3">
      <t>ベンキ</t>
    </rPh>
    <phoneticPr fontId="3"/>
  </si>
  <si>
    <t>大便器（F･V）</t>
    <rPh sb="0" eb="1">
      <t>ダイ</t>
    </rPh>
    <rPh sb="1" eb="3">
      <t>ベンキ</t>
    </rPh>
    <phoneticPr fontId="3"/>
  </si>
  <si>
    <t>手洗器</t>
    <rPh sb="0" eb="2">
      <t>テアライ</t>
    </rPh>
    <rPh sb="2" eb="3">
      <t>キ</t>
    </rPh>
    <phoneticPr fontId="3"/>
  </si>
  <si>
    <t>散水栓</t>
    <rPh sb="0" eb="2">
      <t>サンスイ</t>
    </rPh>
    <rPh sb="2" eb="3">
      <t>セン</t>
    </rPh>
    <phoneticPr fontId="3"/>
  </si>
  <si>
    <t>散水線</t>
    <rPh sb="0" eb="2">
      <t>サンスイ</t>
    </rPh>
    <rPh sb="2" eb="3">
      <t>セン</t>
    </rPh>
    <phoneticPr fontId="3"/>
  </si>
  <si>
    <t>表2-5 種類別吐水量と対応する給水用具の口径</t>
    <rPh sb="0" eb="1">
      <t>ヒョウ</t>
    </rPh>
    <rPh sb="5" eb="7">
      <t>シュルイ</t>
    </rPh>
    <rPh sb="7" eb="8">
      <t>ベツ</t>
    </rPh>
    <rPh sb="8" eb="9">
      <t>ハ</t>
    </rPh>
    <rPh sb="9" eb="11">
      <t>スイリョウ</t>
    </rPh>
    <rPh sb="12" eb="14">
      <t>タイオウ</t>
    </rPh>
    <rPh sb="16" eb="18">
      <t>キュウスイ</t>
    </rPh>
    <rPh sb="18" eb="20">
      <t>ヨウグ</t>
    </rPh>
    <rPh sb="21" eb="23">
      <t>コウケイ</t>
    </rPh>
    <phoneticPr fontId="3"/>
  </si>
  <si>
    <t>散水・車庫</t>
    <rPh sb="0" eb="2">
      <t>サンスイ</t>
    </rPh>
    <rPh sb="3" eb="5">
      <t>シャコ</t>
    </rPh>
    <phoneticPr fontId="3"/>
  </si>
  <si>
    <t>湯沸し器</t>
    <rPh sb="0" eb="2">
      <t>ユワカ</t>
    </rPh>
    <rPh sb="3" eb="4">
      <t>キ</t>
    </rPh>
    <phoneticPr fontId="3"/>
  </si>
  <si>
    <t>水飲み器</t>
    <rPh sb="0" eb="2">
      <t>ミズノ</t>
    </rPh>
    <rPh sb="3" eb="4">
      <t>キ</t>
    </rPh>
    <phoneticPr fontId="3"/>
  </si>
  <si>
    <t>浴槽―そろい</t>
    <rPh sb="0" eb="2">
      <t>ヨクソウ</t>
    </rPh>
    <phoneticPr fontId="3"/>
  </si>
  <si>
    <t>浴槽</t>
    <rPh sb="0" eb="2">
      <t>ヨクソウ</t>
    </rPh>
    <phoneticPr fontId="3"/>
  </si>
  <si>
    <t>料理場流し</t>
    <rPh sb="0" eb="2">
      <t>リョウリ</t>
    </rPh>
    <rPh sb="2" eb="3">
      <t>バ</t>
    </rPh>
    <rPh sb="3" eb="4">
      <t>ナガ</t>
    </rPh>
    <phoneticPr fontId="3"/>
  </si>
  <si>
    <t>食器洗流し</t>
    <rPh sb="0" eb="2">
      <t>ショッキ</t>
    </rPh>
    <rPh sb="2" eb="3">
      <t>アラ</t>
    </rPh>
    <rPh sb="3" eb="4">
      <t>ナガ</t>
    </rPh>
    <phoneticPr fontId="3"/>
  </si>
  <si>
    <t>連合流し</t>
    <rPh sb="0" eb="2">
      <t>レンゴウ</t>
    </rPh>
    <rPh sb="2" eb="3">
      <t>ナガ</t>
    </rPh>
    <phoneticPr fontId="3"/>
  </si>
  <si>
    <t>洗面流し</t>
    <rPh sb="0" eb="2">
      <t>センメン</t>
    </rPh>
    <rPh sb="2" eb="3">
      <t>ナガ</t>
    </rPh>
    <phoneticPr fontId="3"/>
  </si>
  <si>
    <t>清掃用流し</t>
    <rPh sb="0" eb="3">
      <t>セイソウヨウ</t>
    </rPh>
    <rPh sb="3" eb="4">
      <t>ナガ</t>
    </rPh>
    <phoneticPr fontId="3"/>
  </si>
  <si>
    <t>大便器</t>
    <rPh sb="0" eb="3">
      <t>ダイベンキ</t>
    </rPh>
    <phoneticPr fontId="3"/>
  </si>
  <si>
    <t>洗浄タンク（F・T）</t>
    <rPh sb="0" eb="2">
      <t>センジョウ</t>
    </rPh>
    <phoneticPr fontId="3"/>
  </si>
  <si>
    <t>給水栓</t>
    <rPh sb="0" eb="3">
      <t>キュウスイセン</t>
    </rPh>
    <phoneticPr fontId="3"/>
  </si>
  <si>
    <t>（水栓１個につき）給水栓</t>
    <rPh sb="1" eb="3">
      <t>スイセン</t>
    </rPh>
    <rPh sb="4" eb="5">
      <t>コ</t>
    </rPh>
    <rPh sb="9" eb="12">
      <t>キュウスイセン</t>
    </rPh>
    <phoneticPr fontId="3"/>
  </si>
  <si>
    <t>大便器が洗浄弁による場合</t>
    <rPh sb="0" eb="3">
      <t>ダイベンキ</t>
    </rPh>
    <rPh sb="4" eb="6">
      <t>センジョウ</t>
    </rPh>
    <rPh sb="6" eb="7">
      <t>ベン</t>
    </rPh>
    <rPh sb="10" eb="12">
      <t>バアイ</t>
    </rPh>
    <phoneticPr fontId="3"/>
  </si>
  <si>
    <t>大便器が洗浄タンクによる場合</t>
    <rPh sb="0" eb="3">
      <t>ダイベンキ</t>
    </rPh>
    <rPh sb="4" eb="6">
      <t>センジョウ</t>
    </rPh>
    <rPh sb="12" eb="14">
      <t>バアイ</t>
    </rPh>
    <phoneticPr fontId="3"/>
  </si>
  <si>
    <t>水飲み水洗</t>
    <rPh sb="0" eb="2">
      <t>ミズノ</t>
    </rPh>
    <rPh sb="3" eb="5">
      <t>スイセン</t>
    </rPh>
    <phoneticPr fontId="3"/>
  </si>
  <si>
    <t>表2-2 用途別業態別標準使用水量</t>
    <rPh sb="0" eb="1">
      <t>ヒョウ</t>
    </rPh>
    <rPh sb="5" eb="7">
      <t>ヨウト</t>
    </rPh>
    <rPh sb="7" eb="8">
      <t>ベツ</t>
    </rPh>
    <rPh sb="8" eb="10">
      <t>ギョウタイ</t>
    </rPh>
    <rPh sb="10" eb="11">
      <t>ベツ</t>
    </rPh>
    <rPh sb="11" eb="13">
      <t>ヒョウジュン</t>
    </rPh>
    <rPh sb="13" eb="15">
      <t>シヨウ</t>
    </rPh>
    <rPh sb="15" eb="17">
      <t>スイリョウ</t>
    </rPh>
    <phoneticPr fontId="3"/>
  </si>
  <si>
    <t>表2-3 建築用途別給水対象人員算定基準表</t>
    <rPh sb="0" eb="1">
      <t>ヒョウ</t>
    </rPh>
    <rPh sb="5" eb="7">
      <t>ケンチク</t>
    </rPh>
    <rPh sb="7" eb="9">
      <t>ヨウト</t>
    </rPh>
    <rPh sb="9" eb="10">
      <t>ベツ</t>
    </rPh>
    <rPh sb="10" eb="12">
      <t>キュウスイ</t>
    </rPh>
    <rPh sb="12" eb="14">
      <t>タイショウ</t>
    </rPh>
    <rPh sb="14" eb="16">
      <t>ジンイン</t>
    </rPh>
    <rPh sb="16" eb="18">
      <t>サンテイ</t>
    </rPh>
    <rPh sb="18" eb="20">
      <t>キジュン</t>
    </rPh>
    <rPh sb="20" eb="21">
      <t>ヒョウ</t>
    </rPh>
    <phoneticPr fontId="3"/>
  </si>
  <si>
    <t>表2-4 給水用具給水負荷単位表</t>
    <rPh sb="0" eb="1">
      <t>ヒョウ</t>
    </rPh>
    <rPh sb="5" eb="7">
      <t>キュウスイ</t>
    </rPh>
    <rPh sb="7" eb="9">
      <t>ヨウグ</t>
    </rPh>
    <rPh sb="9" eb="11">
      <t>キュウスイ</t>
    </rPh>
    <rPh sb="11" eb="13">
      <t>フカ</t>
    </rPh>
    <rPh sb="13" eb="15">
      <t>タンイ</t>
    </rPh>
    <rPh sb="15" eb="16">
      <t>ヒョウ</t>
    </rPh>
    <phoneticPr fontId="3"/>
  </si>
  <si>
    <t>表3-2 管種別・分岐材料表</t>
    <rPh sb="0" eb="1">
      <t>ヒョウ</t>
    </rPh>
    <rPh sb="5" eb="7">
      <t>カンシュ</t>
    </rPh>
    <rPh sb="7" eb="8">
      <t>ベツ</t>
    </rPh>
    <rPh sb="9" eb="11">
      <t>ブンキ</t>
    </rPh>
    <rPh sb="11" eb="13">
      <t>ザイリョウ</t>
    </rPh>
    <rPh sb="13" eb="14">
      <t>ヒョウ</t>
    </rPh>
    <phoneticPr fontId="3"/>
  </si>
  <si>
    <t>参考（利府町）にない場合</t>
    <rPh sb="0" eb="2">
      <t>サンコウ</t>
    </rPh>
    <rPh sb="3" eb="6">
      <t>リフチョウ</t>
    </rPh>
    <rPh sb="10" eb="12">
      <t>バアイ</t>
    </rPh>
    <phoneticPr fontId="3"/>
  </si>
  <si>
    <t>10戸未満</t>
    <phoneticPr fontId="3"/>
  </si>
  <si>
    <t>10以上600未満</t>
    <phoneticPr fontId="3"/>
  </si>
  <si>
    <t>瞬間最大使用水量</t>
    <phoneticPr fontId="3"/>
  </si>
  <si>
    <t>全流量</t>
    <rPh sb="0" eb="1">
      <t>ゼン</t>
    </rPh>
    <phoneticPr fontId="3"/>
  </si>
  <si>
    <t>端数調整</t>
    <rPh sb="0" eb="2">
      <t>ハスウ</t>
    </rPh>
    <rPh sb="2" eb="4">
      <t>チョウセイ</t>
    </rPh>
    <phoneticPr fontId="3"/>
  </si>
  <si>
    <t>利府町上下水道課</t>
    <rPh sb="0" eb="2">
      <t>リフ</t>
    </rPh>
    <rPh sb="2" eb="3">
      <t>チョウ</t>
    </rPh>
    <rPh sb="3" eb="5">
      <t>ジョウゲ</t>
    </rPh>
    <rPh sb="5" eb="7">
      <t>スイドウ</t>
    </rPh>
    <rPh sb="7" eb="8">
      <t>カ</t>
    </rPh>
    <phoneticPr fontId="3"/>
  </si>
  <si>
    <t>標準110</t>
    <rPh sb="0" eb="2">
      <t>ヒョウジュン</t>
    </rPh>
    <phoneticPr fontId="3"/>
  </si>
  <si>
    <t>ｍ</t>
    <phoneticPr fontId="3"/>
  </si>
  <si>
    <t>m/sec</t>
    <phoneticPr fontId="3"/>
  </si>
  <si>
    <t>m3/sec</t>
    <phoneticPr fontId="3"/>
  </si>
  <si>
    <t>㍑/min</t>
    <phoneticPr fontId="3"/>
  </si>
  <si>
    <t xml:space="preserve">m2 </t>
    <phoneticPr fontId="3"/>
  </si>
  <si>
    <t>L/sec</t>
    <phoneticPr fontId="3"/>
  </si>
  <si>
    <t>）×</t>
    <phoneticPr fontId="3"/>
  </si>
  <si>
    <t>Ｈ＝</t>
    <phoneticPr fontId="3"/>
  </si>
  <si>
    <t>－</t>
    <phoneticPr fontId="3"/>
  </si>
  <si>
    <t>）</t>
    <phoneticPr fontId="3"/>
  </si>
  <si>
    <t>↑</t>
    <phoneticPr fontId="3"/>
  </si>
  <si>
    <t>新鋳鉄管/新鋼管</t>
    <phoneticPr fontId="3"/>
  </si>
  <si>
    <t>新鋼管</t>
    <phoneticPr fontId="3"/>
  </si>
  <si>
    <t>古鋳鉄管/古鋼管</t>
    <phoneticPr fontId="3"/>
  </si>
  <si>
    <t>古鋼管</t>
    <phoneticPr fontId="3"/>
  </si>
  <si>
    <t>-</t>
    <phoneticPr fontId="3"/>
  </si>
  <si>
    <t>ライニング管、コンクリート管、塩化ビニール管等、内面粗度が良好な管（内面が滑らかな管）は　　　Ｃ ＝ １３０　（または １４０ ）</t>
    <phoneticPr fontId="3"/>
  </si>
  <si>
    <t xml:space="preserve"> Ａ～Ｂ </t>
    <phoneticPr fontId="3"/>
  </si>
  <si>
    <t xml:space="preserve"> Ｂ～Ｃ</t>
    <phoneticPr fontId="3"/>
  </si>
  <si>
    <t xml:space="preserve"> Ｃ～Ｄ</t>
    <phoneticPr fontId="3"/>
  </si>
  <si>
    <t xml:space="preserve"> Ｄ～Ｅ</t>
    <phoneticPr fontId="3"/>
  </si>
  <si>
    <t xml:space="preserve"> Ｅ～Ｆ</t>
    <phoneticPr fontId="3"/>
  </si>
  <si>
    <t xml:space="preserve"> Ｆ～Ｇ</t>
    <phoneticPr fontId="3"/>
  </si>
  <si>
    <t xml:space="preserve"> Ｇ～Ｈ</t>
    <phoneticPr fontId="3"/>
  </si>
  <si>
    <t xml:space="preserve"> Ｈ～Ｉ</t>
    <phoneticPr fontId="3"/>
  </si>
  <si>
    <t xml:space="preserve"> Ｉ～Ｊ</t>
    <phoneticPr fontId="3"/>
  </si>
  <si>
    <t xml:space="preserve"> Ｊ～Ｋ</t>
    <phoneticPr fontId="3"/>
  </si>
  <si>
    <t xml:space="preserve"> Ｋ～Ｌ</t>
    <phoneticPr fontId="3"/>
  </si>
  <si>
    <t xml:space="preserve"> Ｌ～Ｍ</t>
    <phoneticPr fontId="3"/>
  </si>
  <si>
    <t xml:space="preserve"> Ｍ～Ｎ</t>
    <phoneticPr fontId="3"/>
  </si>
  <si>
    <t xml:space="preserve"> Ｎ～Ｏ</t>
    <phoneticPr fontId="3"/>
  </si>
  <si>
    <t xml:space="preserve"> Ｏ～Ｐ</t>
    <phoneticPr fontId="3"/>
  </si>
  <si>
    <t xml:space="preserve"> Ｐ～Ｑ</t>
    <phoneticPr fontId="3"/>
  </si>
  <si>
    <t xml:space="preserve"> Ｑ～Ｒ</t>
    <phoneticPr fontId="3"/>
  </si>
  <si>
    <t xml:space="preserve"> Ｒ～Ｓ</t>
    <phoneticPr fontId="3"/>
  </si>
  <si>
    <t xml:space="preserve"> Ｓ～Ｔ</t>
    <phoneticPr fontId="3"/>
  </si>
  <si>
    <t xml:space="preserve"> Ｔ～Ｕ</t>
    <phoneticPr fontId="3"/>
  </si>
  <si>
    <t xml:space="preserve"> Ｕ～Ｖ</t>
    <phoneticPr fontId="3"/>
  </si>
  <si>
    <t xml:space="preserve"> Ｖ～Ｗ</t>
    <phoneticPr fontId="3"/>
  </si>
  <si>
    <t xml:space="preserve"> Ｗ～Ｘ</t>
    <phoneticPr fontId="3"/>
  </si>
  <si>
    <t xml:space="preserve"> Ｘ～Ｙ</t>
    <phoneticPr fontId="3"/>
  </si>
  <si>
    <t xml:space="preserve"> Ｙ～Ｚ</t>
    <phoneticPr fontId="3"/>
  </si>
  <si>
    <t>メータ</t>
    <phoneticPr fontId="3"/>
  </si>
  <si>
    <t>チーズ</t>
    <phoneticPr fontId="3"/>
  </si>
  <si>
    <t>エルボ
90°</t>
    <phoneticPr fontId="3"/>
  </si>
  <si>
    <t>エルボ
45°</t>
    <phoneticPr fontId="3"/>
  </si>
  <si>
    <t>13㎜</t>
    <phoneticPr fontId="3"/>
  </si>
  <si>
    <t>20㎜</t>
    <phoneticPr fontId="3"/>
  </si>
  <si>
    <t>I/min</t>
    <phoneticPr fontId="3"/>
  </si>
  <si>
    <t>I/sec</t>
    <phoneticPr fontId="3"/>
  </si>
  <si>
    <t>(L/min)</t>
    <phoneticPr fontId="3"/>
  </si>
  <si>
    <t>(㎜)</t>
    <phoneticPr fontId="3"/>
  </si>
  <si>
    <t>L/sec</t>
    <phoneticPr fontId="3"/>
  </si>
  <si>
    <t>ＤＩＰ
ＲＲＨＩＶＰ
ＲＲＶＰ</t>
    <phoneticPr fontId="3"/>
  </si>
  <si>
    <t>ＤＩＰ</t>
    <phoneticPr fontId="3"/>
  </si>
  <si>
    <t>DIP</t>
    <phoneticPr fontId="3"/>
  </si>
  <si>
    <t>-</t>
    <phoneticPr fontId="3"/>
  </si>
  <si>
    <t>0.198MPa</t>
    <phoneticPr fontId="3"/>
  </si>
  <si>
    <t>PP・SSP</t>
    <phoneticPr fontId="3"/>
  </si>
  <si>
    <t>2～5</t>
    <phoneticPr fontId="3"/>
  </si>
  <si>
    <t>(2.0kgf/cm2)</t>
    <phoneticPr fontId="3"/>
  </si>
  <si>
    <t>DIP・RRHIVP・RRVP</t>
    <phoneticPr fontId="3"/>
  </si>
  <si>
    <t>6～10</t>
    <phoneticPr fontId="3"/>
  </si>
  <si>
    <t>50・40㎜</t>
    <phoneticPr fontId="3"/>
  </si>
  <si>
    <t>ＰＰ・ＳＳＰ</t>
    <phoneticPr fontId="3"/>
  </si>
  <si>
    <t>50㎜</t>
    <phoneticPr fontId="3"/>
  </si>
  <si>
    <t>DIP・RRHIVP・RRVP・PP・SSP</t>
    <phoneticPr fontId="3"/>
  </si>
  <si>
    <t>11～15</t>
    <phoneticPr fontId="3"/>
  </si>
  <si>
    <t>HIVP・VP・PP・SSP</t>
    <phoneticPr fontId="3"/>
  </si>
  <si>
    <t>16～20</t>
    <phoneticPr fontId="3"/>
  </si>
  <si>
    <t>シャワー</t>
    <phoneticPr fontId="3"/>
  </si>
  <si>
    <t>21～30</t>
    <phoneticPr fontId="3"/>
  </si>
  <si>
    <t>ＧＰ</t>
    <phoneticPr fontId="3"/>
  </si>
  <si>
    <t>40・30㎜</t>
    <phoneticPr fontId="3"/>
  </si>
  <si>
    <t>RRHIVP・RRVP・PP・SSP</t>
    <phoneticPr fontId="3"/>
  </si>
  <si>
    <t>ＲＲＨＩＶＰ
ＲＲＶＰ
ＰＰ</t>
    <phoneticPr fontId="3"/>
  </si>
  <si>
    <t>PP</t>
    <phoneticPr fontId="3"/>
  </si>
  <si>
    <t>SGP-VB・VD、SGP-PB・PD</t>
    <phoneticPr fontId="3"/>
  </si>
  <si>
    <t>ＧＰ
ＨＩＶＰ
ＶＰ
ＰＰ</t>
    <phoneticPr fontId="3"/>
  </si>
  <si>
    <t>40㎜</t>
    <phoneticPr fontId="3"/>
  </si>
  <si>
    <t>30・25㎜</t>
    <phoneticPr fontId="3"/>
  </si>
  <si>
    <t>-</t>
    <phoneticPr fontId="3"/>
  </si>
  <si>
    <t>SGP-VB・VD、SGP-PB・PD</t>
    <phoneticPr fontId="3"/>
  </si>
  <si>
    <t>DIP・RRHIVP・RRVP</t>
    <phoneticPr fontId="3"/>
  </si>
  <si>
    <t>ＰＰ・ＳＳＰ</t>
    <phoneticPr fontId="3"/>
  </si>
  <si>
    <t>50㎜</t>
    <phoneticPr fontId="3"/>
  </si>
  <si>
    <t>PP・RRHIVP・RRVP</t>
    <phoneticPr fontId="3"/>
  </si>
  <si>
    <t>PP</t>
    <phoneticPr fontId="3"/>
  </si>
  <si>
    <t>シャワー</t>
    <phoneticPr fontId="3"/>
  </si>
  <si>
    <t>ＳＳＰ</t>
    <phoneticPr fontId="3"/>
  </si>
  <si>
    <t>-</t>
    <phoneticPr fontId="3"/>
  </si>
  <si>
    <r>
      <t>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当り0.1人</t>
    </r>
  </si>
  <si>
    <t>ボールタップ</t>
    <phoneticPr fontId="3"/>
  </si>
  <si>
    <t>-</t>
    <phoneticPr fontId="3"/>
  </si>
  <si>
    <r>
      <t>(有効容量m</t>
    </r>
    <r>
      <rPr>
        <vertAlign val="superscript"/>
        <sz val="10"/>
        <color indexed="8"/>
        <rFont val="ＭＳ Ｐゴシック"/>
        <family val="3"/>
        <charset val="128"/>
      </rPr>
      <t>3</t>
    </r>
    <r>
      <rPr>
        <sz val="10"/>
        <color indexed="8"/>
        <rFont val="ＭＳ Ｐゴシック"/>
        <family val="3"/>
        <charset val="128"/>
      </rPr>
      <t>×3.3％)＋(有効容量m</t>
    </r>
    <r>
      <rPr>
        <vertAlign val="superscript"/>
        <sz val="10"/>
        <color indexed="8"/>
        <rFont val="ＭＳ Ｐゴシック"/>
        <family val="3"/>
        <charset val="128"/>
      </rPr>
      <t>3</t>
    </r>
    <r>
      <rPr>
        <sz val="10"/>
        <color indexed="8"/>
        <rFont val="ＭＳ Ｐゴシック"/>
        <family val="3"/>
        <charset val="128"/>
      </rPr>
      <t>×3.0％)</t>
    </r>
  </si>
  <si>
    <r>
      <t>回転寿司店・焼肉店・中華料理店・レストラン　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当り120L</t>
    </r>
  </si>
  <si>
    <r>
      <t>日本そば店　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当り100L</t>
    </r>
  </si>
  <si>
    <r>
      <t>小料理屋・居酒屋　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当り70L</t>
    </r>
  </si>
  <si>
    <r>
      <t>とんかつ店・天ぷら屋・お好み焼店・大衆食堂1m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当り50L</t>
    </r>
  </si>
  <si>
    <r>
      <t>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　60L</t>
    </r>
  </si>
  <si>
    <r>
      <t>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　30L</t>
    </r>
  </si>
  <si>
    <r>
      <t>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　20L</t>
    </r>
  </si>
  <si>
    <r>
      <t>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　25L</t>
    </r>
  </si>
  <si>
    <r>
      <t>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　3L</t>
    </r>
  </si>
  <si>
    <r>
      <t>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　10L</t>
    </r>
  </si>
  <si>
    <r>
      <t>店舗面積　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　50L</t>
    </r>
  </si>
  <si>
    <r>
      <t>店舗面積　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　40L</t>
    </r>
  </si>
  <si>
    <r>
      <t>店舗面積　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　35L</t>
    </r>
  </si>
  <si>
    <r>
      <t>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当り0.6人</t>
    </r>
  </si>
  <si>
    <r>
      <t>1m</t>
    </r>
    <r>
      <rPr>
        <vertAlign val="superscript"/>
        <sz val="10"/>
        <color indexed="8"/>
        <rFont val="ＭＳ Ｐゴシック"/>
        <family val="3"/>
        <charset val="128"/>
      </rPr>
      <t>2</t>
    </r>
    <r>
      <rPr>
        <sz val="10"/>
        <color indexed="8"/>
        <rFont val="ＭＳ Ｐゴシック"/>
        <family val="3"/>
        <charset val="128"/>
      </rPr>
      <t>当り0.3人</t>
    </r>
  </si>
  <si>
    <t>＊　(定員)は定員証明書による人員</t>
    <phoneticPr fontId="3"/>
  </si>
  <si>
    <t>ストップ
バルブ</t>
    <phoneticPr fontId="5"/>
  </si>
  <si>
    <t>スルース
バルブ</t>
    <phoneticPr fontId="5"/>
  </si>
  <si>
    <t>メータ</t>
    <phoneticPr fontId="5"/>
  </si>
  <si>
    <t>90ﾟ</t>
    <phoneticPr fontId="5"/>
  </si>
  <si>
    <t>45ﾟ</t>
    <phoneticPr fontId="5"/>
  </si>
  <si>
    <t>ボール
タップ</t>
    <phoneticPr fontId="5"/>
  </si>
  <si>
    <t>エルボ</t>
    <phoneticPr fontId="5"/>
  </si>
  <si>
    <t>15～20</t>
    <phoneticPr fontId="5"/>
  </si>
  <si>
    <t>17～25</t>
    <phoneticPr fontId="5"/>
  </si>
  <si>
    <t>20～26</t>
    <phoneticPr fontId="5"/>
  </si>
  <si>
    <t>20～30</t>
    <phoneticPr fontId="5"/>
  </si>
  <si>
    <t>25～35</t>
    <phoneticPr fontId="5"/>
  </si>
  <si>
    <t>10～20</t>
    <phoneticPr fontId="5"/>
  </si>
  <si>
    <t>40～55</t>
    <phoneticPr fontId="5"/>
  </si>
  <si>
    <t>90～120</t>
    <phoneticPr fontId="5"/>
  </si>
  <si>
    <t>30～40</t>
    <phoneticPr fontId="5"/>
  </si>
  <si>
    <t>180～250</t>
    <phoneticPr fontId="5"/>
  </si>
  <si>
    <t>90～130</t>
    <phoneticPr fontId="5"/>
  </si>
  <si>
    <r>
      <t xml:space="preserve">スルースバルブ
</t>
    </r>
    <r>
      <rPr>
        <sz val="10"/>
        <rFont val="ＭＳ Ｐゴシック"/>
        <family val="3"/>
        <charset val="128"/>
      </rPr>
      <t>(ゲートバルブ)</t>
    </r>
    <phoneticPr fontId="5"/>
  </si>
  <si>
    <t>備      考</t>
    <rPh sb="0" eb="1">
      <t>ソノウ</t>
    </rPh>
    <rPh sb="7" eb="8">
      <t>コウ</t>
    </rPh>
    <phoneticPr fontId="3"/>
  </si>
  <si>
    <t>残損水頭は、基準20ｍ（30ｍとして計算してよい。）</t>
    <rPh sb="6" eb="8">
      <t>キジュン</t>
    </rPh>
    <rPh sb="18" eb="20">
      <t>ケイサン</t>
    </rPh>
    <phoneticPr fontId="3"/>
  </si>
  <si>
    <t>給水栓等:2.0　湯沸器・シャワー・水洗フラシュ等:5.0  （定水位弁:3.0 ボールタップ:2.0）</t>
    <rPh sb="0" eb="2">
      <t>キュウスイ</t>
    </rPh>
    <rPh sb="2" eb="3">
      <t>セン</t>
    </rPh>
    <rPh sb="3" eb="4">
      <t>トウ</t>
    </rPh>
    <rPh sb="9" eb="11">
      <t>ユワ</t>
    </rPh>
    <rPh sb="11" eb="12">
      <t>キ</t>
    </rPh>
    <rPh sb="18" eb="20">
      <t>スイセン</t>
    </rPh>
    <rPh sb="24" eb="25">
      <t>トウ</t>
    </rPh>
    <rPh sb="32" eb="33">
      <t>サダ</t>
    </rPh>
    <rPh sb="33" eb="35">
      <t>スイイ</t>
    </rPh>
    <rPh sb="35" eb="36">
      <t>ベン</t>
    </rPh>
    <phoneticPr fontId="3"/>
  </si>
  <si>
    <t>受水槽</t>
    <rPh sb="0" eb="2">
      <t>ジュスイ</t>
    </rPh>
    <rPh sb="2" eb="3">
      <t>ソウ</t>
    </rPh>
    <phoneticPr fontId="3"/>
  </si>
  <si>
    <t>乙（旧）止水栓</t>
    <rPh sb="0" eb="1">
      <t>オツ</t>
    </rPh>
    <rPh sb="2" eb="3">
      <t>キュウ</t>
    </rPh>
    <rPh sb="4" eb="7">
      <t>シスイセン</t>
    </rPh>
    <phoneticPr fontId="3"/>
  </si>
  <si>
    <t>※水理計算書と端数処理の関係で異なる場合があります。(早見表は端数処理が統一されていません。)</t>
    <rPh sb="1" eb="3">
      <t>スイリ</t>
    </rPh>
    <rPh sb="3" eb="6">
      <t>ケイサンショ</t>
    </rPh>
    <rPh sb="7" eb="9">
      <t>ハスウ</t>
    </rPh>
    <rPh sb="9" eb="11">
      <t>ショリ</t>
    </rPh>
    <rPh sb="12" eb="14">
      <t>カンケイ</t>
    </rPh>
    <rPh sb="15" eb="16">
      <t>コト</t>
    </rPh>
    <rPh sb="18" eb="20">
      <t>バアイ</t>
    </rPh>
    <rPh sb="27" eb="29">
      <t>ハヤミ</t>
    </rPh>
    <rPh sb="29" eb="30">
      <t>ヒョウ</t>
    </rPh>
    <rPh sb="31" eb="33">
      <t>ハスウ</t>
    </rPh>
    <rPh sb="33" eb="35">
      <t>ショリ</t>
    </rPh>
    <rPh sb="36" eb="38">
      <t>トウイツ</t>
    </rPh>
    <phoneticPr fontId="3"/>
  </si>
  <si>
    <t>↑ここから自作用です。</t>
    <rPh sb="5" eb="7">
      <t>ジサク</t>
    </rPh>
    <rPh sb="7" eb="8">
      <t>ヨウ</t>
    </rPh>
    <phoneticPr fontId="3"/>
  </si>
  <si>
    <t>判定</t>
    <rPh sb="0" eb="2">
      <t>ハンテイ</t>
    </rPh>
    <phoneticPr fontId="3"/>
  </si>
  <si>
    <t>大</t>
    <rPh sb="0" eb="1">
      <t>ダイ</t>
    </rPh>
    <phoneticPr fontId="3"/>
  </si>
  <si>
    <t>小</t>
    <rPh sb="0" eb="1">
      <t>ショウ</t>
    </rPh>
    <phoneticPr fontId="3"/>
  </si>
  <si>
    <t>口径 ㎜</t>
    <rPh sb="0" eb="2">
      <t>コウケイ</t>
    </rPh>
    <phoneticPr fontId="3"/>
  </si>
  <si>
    <t>※端数・・・四捨五入の四捨五入</t>
    <rPh sb="1" eb="3">
      <t>ハスウ</t>
    </rPh>
    <rPh sb="6" eb="10">
      <t>シシャゴニュウ</t>
    </rPh>
    <rPh sb="11" eb="15">
      <t>シシャゴニュウ</t>
    </rPh>
    <phoneticPr fontId="3"/>
  </si>
  <si>
    <t>-</t>
    <phoneticPr fontId="3"/>
  </si>
  <si>
    <t>-</t>
    <phoneticPr fontId="3"/>
  </si>
  <si>
    <t>管延長(m)</t>
    <rPh sb="0" eb="1">
      <t>カン</t>
    </rPh>
    <rPh sb="1" eb="3">
      <t>エンチョウ</t>
    </rPh>
    <phoneticPr fontId="3"/>
  </si>
  <si>
    <t>予備1</t>
    <rPh sb="0" eb="2">
      <t>ヨビ</t>
    </rPh>
    <phoneticPr fontId="3"/>
  </si>
  <si>
    <t>予備2</t>
    <rPh sb="0" eb="2">
      <t>ヨビ</t>
    </rPh>
    <phoneticPr fontId="3"/>
  </si>
  <si>
    <t>予備3</t>
    <rPh sb="0" eb="2">
      <t>ヨビ</t>
    </rPh>
    <phoneticPr fontId="3"/>
  </si>
  <si>
    <t>予備4</t>
    <rPh sb="0" eb="2">
      <t>ヨビ</t>
    </rPh>
    <phoneticPr fontId="3"/>
  </si>
  <si>
    <t>予備5</t>
    <rPh sb="0" eb="2">
      <t>ヨビ</t>
    </rPh>
    <phoneticPr fontId="3"/>
  </si>
  <si>
    <t>メーター</t>
  </si>
  <si>
    <t>Ａ～Ｂ</t>
  </si>
  <si>
    <t>Ｂ～Ｃ</t>
  </si>
  <si>
    <t>Ｃ～Ｄ</t>
  </si>
  <si>
    <t>Ｄ～Ｅ</t>
  </si>
  <si>
    <t>Ｅ～Ｆ</t>
  </si>
  <si>
    <t>Ｆ～Ｇ</t>
  </si>
  <si>
    <t>Ｇ～Ｈ</t>
  </si>
  <si>
    <t>Ｈ～Ｉ</t>
  </si>
  <si>
    <t>Ｉ～Ｊ</t>
  </si>
  <si>
    <t>Ｊ～Ｋ</t>
  </si>
  <si>
    <t>Ｋ～Ｌ</t>
  </si>
  <si>
    <t>Ｌ～Ｍ</t>
  </si>
  <si>
    <t>Ｍ～Ｎ</t>
  </si>
  <si>
    <t>Ｎ～Ｏ</t>
  </si>
  <si>
    <t>Ｏ～Ｐ</t>
  </si>
  <si>
    <t>Ｐ～Ｑ</t>
  </si>
  <si>
    <t>Ｑ～Ｒ</t>
  </si>
  <si>
    <t>Ｒ～Ｓ</t>
  </si>
  <si>
    <t>Ｓ～Ｔ</t>
  </si>
  <si>
    <t>Ｔ～Ｕ</t>
  </si>
  <si>
    <t>Ｕ～Ｖ</t>
  </si>
  <si>
    <t>Ｖ～Ｗ</t>
  </si>
  <si>
    <t>Ｗ～Ｘ</t>
  </si>
  <si>
    <t>Ｘ～Ｙ</t>
  </si>
  <si>
    <t>Ｙ～Ｚ</t>
  </si>
  <si>
    <t>ID</t>
    <phoneticPr fontId="3"/>
  </si>
  <si>
    <t>ID</t>
    <phoneticPr fontId="3"/>
  </si>
  <si>
    <t>器具</t>
    <phoneticPr fontId="3"/>
  </si>
  <si>
    <t>ｍ</t>
    <phoneticPr fontId="3"/>
  </si>
  <si>
    <t>‰</t>
    <phoneticPr fontId="3"/>
  </si>
  <si>
    <t>L/s</t>
    <phoneticPr fontId="3"/>
  </si>
  <si>
    <t>栓当りL/s</t>
    <rPh sb="0" eb="1">
      <t>セン</t>
    </rPh>
    <rPh sb="1" eb="2">
      <t>アタ</t>
    </rPh>
    <phoneticPr fontId="3"/>
  </si>
  <si>
    <t>栓当りL/m</t>
    <rPh sb="0" eb="1">
      <t>セン</t>
    </rPh>
    <rPh sb="1" eb="2">
      <t>アタ</t>
    </rPh>
    <phoneticPr fontId="3"/>
  </si>
  <si>
    <t>1.2-0.45+6.0+1.8</t>
    <phoneticPr fontId="3"/>
  </si>
  <si>
    <t xml:space="preserve">                               水  理  計  算  書</t>
    <rPh sb="31" eb="32">
      <t>ミズ</t>
    </rPh>
    <rPh sb="34" eb="35">
      <t>リ</t>
    </rPh>
    <rPh sb="37" eb="38">
      <t>ケイ</t>
    </rPh>
    <rPh sb="40" eb="41">
      <t>サン</t>
    </rPh>
    <rPh sb="43" eb="44">
      <t>ショ</t>
    </rPh>
    <phoneticPr fontId="3"/>
  </si>
  <si>
    <t>水理計算例―３</t>
    <rPh sb="0" eb="2">
      <t>スイリ</t>
    </rPh>
    <rPh sb="2" eb="4">
      <t>ケイサン</t>
    </rPh>
    <rPh sb="4" eb="5">
      <t>レイ</t>
    </rPh>
    <phoneticPr fontId="3"/>
  </si>
  <si>
    <t>管径均等表</t>
  </si>
  <si>
    <t>岐管mm</t>
  </si>
  <si>
    <t>岐 管 と 主 管 と の 均 等</t>
  </si>
  <si>
    <t>主管径mm</t>
  </si>
  <si>
    <t>N=（D/ｄ）＾（5/2）</t>
  </si>
  <si>
    <t>Ｎ:小管の数（均等管径）</t>
  </si>
  <si>
    <t>Ｄ:大管の直径＝（本管）</t>
  </si>
  <si>
    <t>ｄ:小管の直径＝（支栓）</t>
  </si>
  <si>
    <t>⑦</t>
    <phoneticPr fontId="3"/>
  </si>
  <si>
    <t>管径均等</t>
    <rPh sb="0" eb="1">
      <t>カン</t>
    </rPh>
    <rPh sb="1" eb="2">
      <t>ケイ</t>
    </rPh>
    <rPh sb="2" eb="4">
      <t>キントウ</t>
    </rPh>
    <phoneticPr fontId="3"/>
  </si>
  <si>
    <t>Ｄ:大管の直径</t>
    <rPh sb="2" eb="4">
      <t>ダイカン</t>
    </rPh>
    <rPh sb="5" eb="7">
      <t>チョッケイ</t>
    </rPh>
    <phoneticPr fontId="3"/>
  </si>
  <si>
    <t>ｄ:小管の直径</t>
    <rPh sb="2" eb="4">
      <t>コスゲ</t>
    </rPh>
    <rPh sb="5" eb="7">
      <t>チョッケイ</t>
    </rPh>
    <phoneticPr fontId="3"/>
  </si>
  <si>
    <t>Ｎ:小管の数</t>
    <phoneticPr fontId="3"/>
  </si>
  <si>
    <t>(1.2-0.45)+3.0+0.7</t>
    <phoneticPr fontId="3"/>
  </si>
  <si>
    <t>共同住宅</t>
    <rPh sb="0" eb="2">
      <t>キョウドウ</t>
    </rPh>
    <rPh sb="2" eb="4">
      <t>ジュウタク</t>
    </rPh>
    <phoneticPr fontId="3"/>
  </si>
  <si>
    <t>空白にするとエラーになります。↑</t>
    <rPh sb="0" eb="2">
      <t>クウハク</t>
    </rPh>
    <phoneticPr fontId="3"/>
  </si>
  <si>
    <t>定水位弁</t>
    <rPh sb="0" eb="4">
      <t>テイスイイベン</t>
    </rPh>
    <phoneticPr fontId="3"/>
  </si>
  <si>
    <t>1.2＋1.5（GL～定水位弁まで）</t>
    <rPh sb="11" eb="12">
      <t>テイ</t>
    </rPh>
    <rPh sb="12" eb="14">
      <t>スイイ</t>
    </rPh>
    <rPh sb="14" eb="15">
      <t>ベン</t>
    </rPh>
    <phoneticPr fontId="3"/>
  </si>
  <si>
    <t>手締め太郎 V2.03</t>
    <phoneticPr fontId="3"/>
  </si>
  <si>
    <t>共同住宅(受水槽)例-7</t>
    <rPh sb="0" eb="2">
      <t>キョウドウ</t>
    </rPh>
    <rPh sb="2" eb="4">
      <t>ジュウタク</t>
    </rPh>
    <rPh sb="5" eb="8">
      <t>ジュスイソウ</t>
    </rPh>
    <rPh sb="9" eb="10">
      <t>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</si>
</sst>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&quot;～&quot;0"/>
    <numFmt numFmtId="177" formatCode="0.0_);[Red]&quot;¥&quot;\!\(0.0&quot;¥&quot;\!\)"/>
    <numFmt numFmtId="178" formatCode="0.00_);[Red]&quot;¥&quot;\!\(0.00&quot;¥&quot;\!\)"/>
    <numFmt numFmtId="179" formatCode="0.0"/>
    <numFmt numFmtId="180" formatCode="#,##0.00_ ;[Red]&quot;¥&quot;\!\-#,##0.00&quot;¥&quot;\!\ "/>
    <numFmt numFmtId="181" formatCode="#,##0.0;[Red]\-#,##0.0"/>
    <numFmt numFmtId="182" formatCode="#,##0.0000;[Red]\-#,##0.0000"/>
    <numFmt numFmtId="183" formatCode="#,##0.00000000000000000;[Red]\-#,##0.00000000000000000"/>
    <numFmt numFmtId="184" formatCode="0.0_ "/>
    <numFmt numFmtId="185" formatCode="0.00_ "/>
    <numFmt numFmtId="186" formatCode="0.0_);[Red]\(0.0\)"/>
    <numFmt numFmtId="187" formatCode="#,##0.0"/>
    <numFmt numFmtId="188" formatCode="0.000000000000000_ "/>
    <numFmt numFmtId="189" formatCode="0.0000_);[Red]\(0.0000\)"/>
    <numFmt numFmtId="190" formatCode="\φ#,##0"/>
    <numFmt numFmtId="191" formatCode="\C\=#,##0"/>
    <numFmt numFmtId="192" formatCode="0.00_);[Red]\(0.00\)"/>
    <numFmt numFmtId="193" formatCode="0\×"/>
    <numFmt numFmtId="194" formatCode="#,##0.0\ &quot;L/min&quot;"/>
    <numFmt numFmtId="195" formatCode="#,##0.00\ &quot;L/min&quot;"/>
  </numFmts>
  <fonts count="2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vertAlign val="superscript"/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12"/>
      <color indexed="12"/>
      <name val="ＭＳ Ｐゴシック"/>
      <family val="3"/>
      <charset val="128"/>
      <scheme val="major"/>
    </font>
    <font>
      <sz val="11"/>
      <color indexed="1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inor"/>
    </font>
    <font>
      <sz val="11"/>
      <color theme="9" tint="-0.249977111117893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10"/>
      <color indexed="8"/>
      <name val="ＭＳ Ｐゴシック"/>
      <family val="3"/>
      <charset val="128"/>
      <scheme val="major"/>
    </font>
    <font>
      <sz val="10"/>
      <color indexed="10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b/>
      <sz val="10"/>
      <color theme="1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aj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6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</borders>
  <cellStyleXfs count="15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/>
    <xf numFmtId="0" fontId="2" fillId="0" borderId="0"/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1" fillId="0" borderId="0">
      <alignment vertical="center"/>
    </xf>
  </cellStyleXfs>
  <cellXfs count="442">
    <xf numFmtId="0" fontId="0" fillId="0" borderId="0" xfId="0"/>
    <xf numFmtId="0" fontId="10" fillId="2" borderId="1" xfId="0" applyFont="1" applyFill="1" applyBorder="1" applyAlignment="1">
      <alignment horizontal="center" vertical="center"/>
    </xf>
    <xf numFmtId="38" fontId="11" fillId="2" borderId="3" xfId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5" xfId="0" applyFont="1" applyBorder="1"/>
    <xf numFmtId="38" fontId="11" fillId="0" borderId="6" xfId="1" applyFont="1" applyFill="1" applyBorder="1" applyAlignment="1">
      <alignment horizontal="right" vertical="center"/>
    </xf>
    <xf numFmtId="49" fontId="11" fillId="0" borderId="8" xfId="1" applyNumberFormat="1" applyFont="1" applyFill="1" applyBorder="1" applyAlignment="1">
      <alignment horizontal="left" vertical="center"/>
    </xf>
    <xf numFmtId="38" fontId="12" fillId="0" borderId="7" xfId="1" applyFont="1" applyFill="1" applyBorder="1" applyAlignment="1">
      <alignment horizontal="right" vertical="center"/>
    </xf>
    <xf numFmtId="0" fontId="10" fillId="0" borderId="6" xfId="0" applyFont="1" applyBorder="1"/>
    <xf numFmtId="0" fontId="10" fillId="0" borderId="9" xfId="0" applyFont="1" applyBorder="1"/>
    <xf numFmtId="0" fontId="10" fillId="2" borderId="6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38" fontId="10" fillId="2" borderId="8" xfId="1" applyFont="1" applyFill="1" applyBorder="1" applyAlignment="1">
      <alignment horizontal="center" vertical="center"/>
    </xf>
    <xf numFmtId="0" fontId="10" fillId="0" borderId="10" xfId="0" applyFont="1" applyBorder="1"/>
    <xf numFmtId="0" fontId="10" fillId="0" borderId="0" xfId="0" applyFont="1"/>
    <xf numFmtId="176" fontId="11" fillId="0" borderId="8" xfId="1" applyNumberFormat="1" applyFont="1" applyFill="1" applyBorder="1" applyAlignment="1">
      <alignment horizontal="left" vertical="center"/>
    </xf>
    <xf numFmtId="0" fontId="10" fillId="0" borderId="6" xfId="0" applyFont="1" applyFill="1" applyBorder="1"/>
    <xf numFmtId="2" fontId="10" fillId="0" borderId="8" xfId="0" applyNumberFormat="1" applyFont="1" applyFill="1" applyBorder="1"/>
    <xf numFmtId="2" fontId="10" fillId="0" borderId="8" xfId="1" applyNumberFormat="1" applyFont="1" applyFill="1" applyBorder="1" applyAlignment="1">
      <alignment vertical="center"/>
    </xf>
    <xf numFmtId="0" fontId="13" fillId="0" borderId="6" xfId="0" applyFont="1" applyFill="1" applyBorder="1"/>
    <xf numFmtId="2" fontId="13" fillId="0" borderId="8" xfId="0" applyNumberFormat="1" applyFont="1" applyFill="1" applyBorder="1"/>
    <xf numFmtId="2" fontId="14" fillId="0" borderId="8" xfId="1" applyNumberFormat="1" applyFont="1" applyFill="1" applyBorder="1" applyAlignment="1">
      <alignment vertical="center"/>
    </xf>
    <xf numFmtId="2" fontId="13" fillId="0" borderId="8" xfId="1" applyNumberFormat="1" applyFont="1" applyFill="1" applyBorder="1" applyAlignment="1">
      <alignment vertical="center"/>
    </xf>
    <xf numFmtId="0" fontId="10" fillId="0" borderId="12" xfId="0" applyFont="1" applyBorder="1"/>
    <xf numFmtId="0" fontId="10" fillId="0" borderId="13" xfId="0" applyFont="1" applyBorder="1"/>
    <xf numFmtId="0" fontId="10" fillId="0" borderId="14" xfId="0" applyFont="1" applyBorder="1"/>
    <xf numFmtId="0" fontId="10" fillId="0" borderId="17" xfId="0" applyNumberFormat="1" applyFont="1" applyBorder="1"/>
    <xf numFmtId="0" fontId="10" fillId="0" borderId="18" xfId="0" applyNumberFormat="1" applyFont="1" applyFill="1" applyBorder="1"/>
    <xf numFmtId="0" fontId="10" fillId="0" borderId="18" xfId="0" applyNumberFormat="1" applyFont="1" applyBorder="1"/>
    <xf numFmtId="0" fontId="10" fillId="0" borderId="19" xfId="0" applyNumberFormat="1" applyFont="1" applyBorder="1"/>
    <xf numFmtId="0" fontId="10" fillId="0" borderId="11" xfId="0" applyFont="1" applyBorder="1"/>
    <xf numFmtId="38" fontId="11" fillId="0" borderId="6" xfId="1" applyFont="1" applyFill="1" applyBorder="1" applyAlignment="1">
      <alignment vertical="center"/>
    </xf>
    <xf numFmtId="38" fontId="12" fillId="0" borderId="7" xfId="1" applyFont="1" applyFill="1" applyBorder="1" applyAlignment="1">
      <alignment vertical="center"/>
    </xf>
    <xf numFmtId="38" fontId="11" fillId="0" borderId="12" xfId="1" applyFont="1" applyFill="1" applyBorder="1" applyAlignment="1">
      <alignment vertical="center"/>
    </xf>
    <xf numFmtId="176" fontId="11" fillId="0" borderId="15" xfId="1" applyNumberFormat="1" applyFont="1" applyFill="1" applyBorder="1" applyAlignment="1">
      <alignment horizontal="left" vertical="center"/>
    </xf>
    <xf numFmtId="38" fontId="12" fillId="0" borderId="16" xfId="1" applyFont="1" applyFill="1" applyBorder="1" applyAlignment="1">
      <alignment vertical="center"/>
    </xf>
    <xf numFmtId="38" fontId="15" fillId="0" borderId="8" xfId="1" applyFont="1" applyFill="1" applyBorder="1" applyAlignment="1" applyProtection="1">
      <alignment horizontal="center" vertical="center" justifyLastLine="1"/>
      <protection locked="0"/>
    </xf>
    <xf numFmtId="40" fontId="16" fillId="4" borderId="8" xfId="1" applyNumberFormat="1" applyFont="1" applyFill="1" applyBorder="1" applyAlignment="1" applyProtection="1">
      <alignment horizontal="right" vertical="center" justifyLastLine="1"/>
    </xf>
    <xf numFmtId="38" fontId="15" fillId="0" borderId="8" xfId="1" applyFont="1" applyFill="1" applyBorder="1" applyAlignment="1" applyProtection="1">
      <alignment horizontal="center" vertical="center"/>
      <protection locked="0"/>
    </xf>
    <xf numFmtId="192" fontId="15" fillId="0" borderId="7" xfId="1" applyNumberFormat="1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/>
    <xf numFmtId="0" fontId="18" fillId="0" borderId="0" xfId="0" applyFont="1"/>
    <xf numFmtId="0" fontId="18" fillId="0" borderId="0" xfId="12" applyFont="1"/>
    <xf numFmtId="0" fontId="10" fillId="0" borderId="0" xfId="12" applyFont="1"/>
    <xf numFmtId="0" fontId="18" fillId="0" borderId="0" xfId="0" applyFont="1" applyAlignment="1">
      <alignment horizontal="right"/>
    </xf>
    <xf numFmtId="0" fontId="18" fillId="0" borderId="20" xfId="0" applyFont="1" applyBorder="1" applyAlignment="1">
      <alignment horizontal="center"/>
    </xf>
    <xf numFmtId="0" fontId="18" fillId="0" borderId="20" xfId="0" applyFont="1" applyFill="1" applyBorder="1" applyAlignment="1">
      <alignment horizontal="center"/>
    </xf>
    <xf numFmtId="38" fontId="18" fillId="0" borderId="29" xfId="1" applyFont="1" applyFill="1" applyBorder="1" applyAlignment="1">
      <alignment horizontal="left" vertical="center"/>
    </xf>
    <xf numFmtId="38" fontId="18" fillId="0" borderId="29" xfId="1" applyFont="1" applyFill="1" applyBorder="1" applyAlignment="1">
      <alignment horizontal="center" vertical="center"/>
    </xf>
    <xf numFmtId="38" fontId="18" fillId="0" borderId="27" xfId="1" applyFont="1" applyFill="1" applyBorder="1" applyAlignment="1">
      <alignment horizontal="center" vertical="center"/>
    </xf>
    <xf numFmtId="0" fontId="18" fillId="0" borderId="20" xfId="12" applyFont="1" applyFill="1" applyBorder="1" applyAlignment="1">
      <alignment horizontal="center"/>
    </xf>
    <xf numFmtId="0" fontId="18" fillId="0" borderId="29" xfId="12" applyFont="1" applyBorder="1"/>
    <xf numFmtId="38" fontId="18" fillId="0" borderId="29" xfId="4" applyFont="1" applyFill="1" applyBorder="1" applyAlignment="1">
      <alignment vertical="center"/>
    </xf>
    <xf numFmtId="0" fontId="18" fillId="0" borderId="27" xfId="12" applyFont="1" applyBorder="1"/>
    <xf numFmtId="0" fontId="18" fillId="0" borderId="30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8" fillId="0" borderId="8" xfId="0" applyFont="1" applyBorder="1" applyAlignment="1">
      <alignment horizontal="center" vertical="center"/>
    </xf>
    <xf numFmtId="38" fontId="18" fillId="0" borderId="8" xfId="1" applyFont="1" applyFill="1" applyBorder="1" applyAlignment="1">
      <alignment horizontal="distributed" vertical="center" justifyLastLine="1"/>
    </xf>
    <xf numFmtId="0" fontId="19" fillId="0" borderId="8" xfId="0" applyFont="1" applyBorder="1" applyAlignment="1">
      <alignment horizontal="center" vertical="top" wrapText="1"/>
    </xf>
    <xf numFmtId="0" fontId="18" fillId="0" borderId="8" xfId="0" applyFont="1" applyBorder="1"/>
    <xf numFmtId="0" fontId="18" fillId="0" borderId="25" xfId="0" applyFont="1" applyBorder="1" applyAlignment="1">
      <alignment horizontal="center"/>
    </xf>
    <xf numFmtId="38" fontId="18" fillId="0" borderId="25" xfId="1" applyFont="1" applyFill="1" applyBorder="1" applyAlignment="1">
      <alignment horizontal="center" vertical="center"/>
    </xf>
    <xf numFmtId="190" fontId="18" fillId="0" borderId="24" xfId="12" applyNumberFormat="1" applyFont="1" applyBorder="1" applyAlignment="1">
      <alignment horizontal="center"/>
    </xf>
    <xf numFmtId="38" fontId="18" fillId="0" borderId="25" xfId="4" applyFont="1" applyFill="1" applyBorder="1" applyAlignment="1">
      <alignment horizontal="center" vertical="center"/>
    </xf>
    <xf numFmtId="190" fontId="18" fillId="0" borderId="23" xfId="4" applyNumberFormat="1" applyFont="1" applyFill="1" applyBorder="1" applyAlignment="1">
      <alignment horizontal="center" vertical="center"/>
    </xf>
    <xf numFmtId="190" fontId="18" fillId="0" borderId="23" xfId="12" applyNumberFormat="1" applyFont="1" applyBorder="1" applyAlignment="1">
      <alignment horizontal="center"/>
    </xf>
    <xf numFmtId="0" fontId="18" fillId="0" borderId="31" xfId="0" applyFont="1" applyBorder="1" applyAlignment="1">
      <alignment horizontal="center" vertical="center"/>
    </xf>
    <xf numFmtId="0" fontId="18" fillId="0" borderId="8" xfId="0" applyFont="1" applyFill="1" applyBorder="1"/>
    <xf numFmtId="0" fontId="18" fillId="0" borderId="8" xfId="0" applyFont="1" applyBorder="1" applyAlignment="1">
      <alignment horizontal="center"/>
    </xf>
    <xf numFmtId="0" fontId="18" fillId="0" borderId="8" xfId="0" applyFont="1" applyBorder="1" applyAlignment="1">
      <alignment horizontal="left" vertical="center"/>
    </xf>
    <xf numFmtId="38" fontId="20" fillId="0" borderId="8" xfId="1" applyFont="1" applyFill="1" applyBorder="1" applyAlignment="1">
      <alignment vertical="center"/>
    </xf>
    <xf numFmtId="179" fontId="21" fillId="0" borderId="8" xfId="0" applyNumberFormat="1" applyFont="1" applyFill="1" applyBorder="1"/>
    <xf numFmtId="0" fontId="19" fillId="0" borderId="8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right" vertical="top" wrapText="1"/>
    </xf>
    <xf numFmtId="181" fontId="18" fillId="0" borderId="31" xfId="1" applyNumberFormat="1" applyFont="1" applyFill="1" applyBorder="1" applyAlignment="1">
      <alignment horizontal="center" vertical="center"/>
    </xf>
    <xf numFmtId="0" fontId="18" fillId="0" borderId="32" xfId="0" applyNumberFormat="1" applyFont="1" applyBorder="1" applyAlignment="1">
      <alignment horizontal="center"/>
    </xf>
    <xf numFmtId="0" fontId="18" fillId="0" borderId="22" xfId="1" applyNumberFormat="1" applyFont="1" applyFill="1" applyBorder="1" applyAlignment="1">
      <alignment horizontal="center" vertical="center"/>
    </xf>
    <xf numFmtId="0" fontId="18" fillId="0" borderId="33" xfId="1" applyNumberFormat="1" applyFont="1" applyFill="1" applyBorder="1" applyAlignment="1">
      <alignment horizontal="center" vertical="center"/>
    </xf>
    <xf numFmtId="0" fontId="18" fillId="0" borderId="34" xfId="1" applyNumberFormat="1" applyFont="1" applyFill="1" applyBorder="1" applyAlignment="1">
      <alignment horizontal="center" vertical="center"/>
    </xf>
    <xf numFmtId="181" fontId="18" fillId="0" borderId="31" xfId="4" applyNumberFormat="1" applyFont="1" applyFill="1" applyBorder="1" applyAlignment="1">
      <alignment horizontal="center" vertical="center"/>
    </xf>
    <xf numFmtId="184" fontId="22" fillId="0" borderId="2" xfId="13" applyNumberFormat="1" applyFont="1" applyBorder="1">
      <alignment vertical="center"/>
    </xf>
    <xf numFmtId="184" fontId="22" fillId="0" borderId="22" xfId="13" applyNumberFormat="1" applyFont="1" applyBorder="1">
      <alignment vertical="center"/>
    </xf>
    <xf numFmtId="184" fontId="22" fillId="0" borderId="3" xfId="13" applyNumberFormat="1" applyFont="1" applyBorder="1">
      <alignment vertical="center"/>
    </xf>
    <xf numFmtId="177" fontId="18" fillId="0" borderId="8" xfId="0" applyNumberFormat="1" applyFont="1" applyBorder="1"/>
    <xf numFmtId="178" fontId="18" fillId="0" borderId="8" xfId="0" applyNumberFormat="1" applyFont="1" applyBorder="1"/>
    <xf numFmtId="185" fontId="18" fillId="0" borderId="27" xfId="0" applyNumberFormat="1" applyFont="1" applyBorder="1"/>
    <xf numFmtId="0" fontId="18" fillId="0" borderId="27" xfId="0" applyFont="1" applyBorder="1"/>
    <xf numFmtId="0" fontId="18" fillId="0" borderId="20" xfId="0" applyFont="1" applyBorder="1" applyAlignment="1">
      <alignment horizontal="right"/>
    </xf>
    <xf numFmtId="181" fontId="18" fillId="0" borderId="9" xfId="1" applyNumberFormat="1" applyFont="1" applyFill="1" applyBorder="1" applyAlignment="1">
      <alignment horizontal="center" vertical="center"/>
    </xf>
    <xf numFmtId="0" fontId="18" fillId="0" borderId="35" xfId="0" applyNumberFormat="1" applyFont="1" applyBorder="1" applyAlignment="1">
      <alignment horizontal="center"/>
    </xf>
    <xf numFmtId="0" fontId="18" fillId="0" borderId="20" xfId="1" applyNumberFormat="1" applyFont="1" applyFill="1" applyBorder="1" applyAlignment="1">
      <alignment horizontal="center" vertical="center"/>
    </xf>
    <xf numFmtId="0" fontId="18" fillId="0" borderId="8" xfId="1" applyNumberFormat="1" applyFont="1" applyFill="1" applyBorder="1" applyAlignment="1">
      <alignment horizontal="center" vertical="center"/>
    </xf>
    <xf numFmtId="0" fontId="18" fillId="0" borderId="9" xfId="1" applyNumberFormat="1" applyFont="1" applyFill="1" applyBorder="1" applyAlignment="1">
      <alignment horizontal="center" vertical="center"/>
    </xf>
    <xf numFmtId="0" fontId="18" fillId="0" borderId="36" xfId="1" applyNumberFormat="1" applyFont="1" applyFill="1" applyBorder="1" applyAlignment="1">
      <alignment horizontal="center" vertical="center"/>
    </xf>
    <xf numFmtId="181" fontId="18" fillId="0" borderId="9" xfId="4" applyNumberFormat="1" applyFont="1" applyFill="1" applyBorder="1" applyAlignment="1">
      <alignment horizontal="center" vertical="center"/>
    </xf>
    <xf numFmtId="184" fontId="22" fillId="0" borderId="6" xfId="13" applyNumberFormat="1" applyFont="1" applyBorder="1">
      <alignment vertical="center"/>
    </xf>
    <xf numFmtId="184" fontId="22" fillId="0" borderId="8" xfId="13" applyNumberFormat="1" applyFont="1" applyBorder="1">
      <alignment vertical="center"/>
    </xf>
    <xf numFmtId="184" fontId="22" fillId="0" borderId="7" xfId="13" applyNumberFormat="1" applyFont="1" applyBorder="1">
      <alignment vertical="center"/>
    </xf>
    <xf numFmtId="0" fontId="18" fillId="0" borderId="25" xfId="0" applyFont="1" applyBorder="1"/>
    <xf numFmtId="0" fontId="18" fillId="0" borderId="37" xfId="0" applyFont="1" applyBorder="1" applyAlignment="1">
      <alignment horizontal="center"/>
    </xf>
    <xf numFmtId="40" fontId="18" fillId="0" borderId="9" xfId="1" applyNumberFormat="1" applyFont="1" applyFill="1" applyBorder="1" applyAlignment="1">
      <alignment horizontal="center" vertical="center"/>
    </xf>
    <xf numFmtId="0" fontId="18" fillId="0" borderId="38" xfId="0" applyNumberFormat="1" applyFont="1" applyBorder="1" applyAlignment="1">
      <alignment horizontal="center"/>
    </xf>
    <xf numFmtId="0" fontId="18" fillId="0" borderId="27" xfId="1" applyNumberFormat="1" applyFont="1" applyFill="1" applyBorder="1" applyAlignment="1">
      <alignment horizontal="center" vertical="center"/>
    </xf>
    <xf numFmtId="181" fontId="18" fillId="0" borderId="8" xfId="1" applyNumberFormat="1" applyFont="1" applyFill="1" applyBorder="1" applyAlignment="1">
      <alignment horizontal="center" vertical="center"/>
    </xf>
    <xf numFmtId="0" fontId="18" fillId="0" borderId="39" xfId="0" applyNumberFormat="1" applyFont="1" applyBorder="1" applyAlignment="1">
      <alignment horizontal="center"/>
    </xf>
    <xf numFmtId="0" fontId="18" fillId="0" borderId="40" xfId="1" applyNumberFormat="1" applyFont="1" applyFill="1" applyBorder="1" applyAlignment="1">
      <alignment horizontal="center" vertical="center"/>
    </xf>
    <xf numFmtId="0" fontId="18" fillId="0" borderId="9" xfId="0" applyNumberFormat="1" applyFont="1" applyBorder="1" applyAlignment="1">
      <alignment horizontal="center"/>
    </xf>
    <xf numFmtId="0" fontId="18" fillId="0" borderId="35" xfId="1" applyNumberFormat="1" applyFont="1" applyFill="1" applyBorder="1" applyAlignment="1">
      <alignment horizontal="center" vertical="center"/>
    </xf>
    <xf numFmtId="0" fontId="18" fillId="0" borderId="25" xfId="1" applyNumberFormat="1" applyFont="1" applyFill="1" applyBorder="1" applyAlignment="1">
      <alignment horizontal="center" vertical="center"/>
    </xf>
    <xf numFmtId="40" fontId="18" fillId="0" borderId="8" xfId="1" applyNumberFormat="1" applyFont="1" applyFill="1" applyBorder="1" applyAlignment="1">
      <alignment horizontal="center" vertical="center"/>
    </xf>
    <xf numFmtId="0" fontId="18" fillId="0" borderId="38" xfId="1" applyNumberFormat="1" applyFont="1" applyFill="1" applyBorder="1" applyAlignment="1">
      <alignment horizontal="center" vertical="center"/>
    </xf>
    <xf numFmtId="0" fontId="18" fillId="0" borderId="31" xfId="1" applyNumberFormat="1" applyFont="1" applyFill="1" applyBorder="1" applyAlignment="1">
      <alignment horizontal="center" vertical="center"/>
    </xf>
    <xf numFmtId="38" fontId="18" fillId="0" borderId="8" xfId="1" applyFont="1" applyFill="1" applyBorder="1" applyAlignment="1">
      <alignment vertical="center"/>
    </xf>
    <xf numFmtId="0" fontId="18" fillId="0" borderId="41" xfId="1" applyNumberFormat="1" applyFont="1" applyFill="1" applyBorder="1" applyAlignment="1">
      <alignment horizontal="center" vertical="center"/>
    </xf>
    <xf numFmtId="181" fontId="21" fillId="0" borderId="8" xfId="1" applyNumberFormat="1" applyFont="1" applyFill="1" applyBorder="1" applyAlignment="1">
      <alignment vertical="center"/>
    </xf>
    <xf numFmtId="0" fontId="18" fillId="0" borderId="42" xfId="1" applyNumberFormat="1" applyFont="1" applyFill="1" applyBorder="1" applyAlignment="1">
      <alignment horizontal="center" vertical="center"/>
    </xf>
    <xf numFmtId="184" fontId="22" fillId="0" borderId="12" xfId="13" applyNumberFormat="1" applyFont="1" applyBorder="1">
      <alignment vertical="center"/>
    </xf>
    <xf numFmtId="184" fontId="22" fillId="0" borderId="31" xfId="13" applyNumberFormat="1" applyFont="1" applyBorder="1">
      <alignment vertical="center"/>
    </xf>
    <xf numFmtId="184" fontId="22" fillId="0" borderId="9" xfId="13" applyNumberFormat="1" applyFont="1" applyBorder="1">
      <alignment vertical="center"/>
    </xf>
    <xf numFmtId="184" fontId="22" fillId="0" borderId="10" xfId="13" applyNumberFormat="1" applyFont="1" applyBorder="1">
      <alignment vertical="center"/>
    </xf>
    <xf numFmtId="0" fontId="19" fillId="0" borderId="0" xfId="0" applyFont="1" applyAlignment="1">
      <alignment horizontal="left" vertical="center" indent="1"/>
    </xf>
    <xf numFmtId="184" fontId="22" fillId="0" borderId="14" xfId="13" applyNumberFormat="1" applyFont="1" applyBorder="1">
      <alignment vertical="center"/>
    </xf>
    <xf numFmtId="184" fontId="22" fillId="0" borderId="25" xfId="13" applyNumberFormat="1" applyFont="1" applyBorder="1">
      <alignment vertical="center"/>
    </xf>
    <xf numFmtId="0" fontId="23" fillId="3" borderId="0" xfId="11" applyFont="1" applyFill="1" applyAlignment="1">
      <alignment horizontal="right" vertical="center"/>
    </xf>
    <xf numFmtId="0" fontId="19" fillId="3" borderId="0" xfId="11" applyFont="1" applyFill="1">
      <alignment vertical="center"/>
    </xf>
    <xf numFmtId="0" fontId="19" fillId="0" borderId="0" xfId="11" applyFont="1">
      <alignment vertical="center"/>
    </xf>
    <xf numFmtId="0" fontId="19" fillId="3" borderId="8" xfId="11" applyFont="1" applyFill="1" applyBorder="1" applyAlignment="1">
      <alignment horizontal="center" vertical="center"/>
    </xf>
    <xf numFmtId="0" fontId="19" fillId="3" borderId="8" xfId="11" applyFont="1" applyFill="1" applyBorder="1" applyAlignment="1">
      <alignment horizontal="distributed" vertical="center" justifyLastLine="1"/>
    </xf>
    <xf numFmtId="0" fontId="19" fillId="3" borderId="8" xfId="11" applyFont="1" applyFill="1" applyBorder="1">
      <alignment vertical="center"/>
    </xf>
    <xf numFmtId="188" fontId="19" fillId="3" borderId="8" xfId="11" applyNumberFormat="1" applyFont="1" applyFill="1" applyBorder="1">
      <alignment vertical="center"/>
    </xf>
    <xf numFmtId="189" fontId="19" fillId="3" borderId="8" xfId="11" applyNumberFormat="1" applyFont="1" applyFill="1" applyBorder="1" applyAlignment="1">
      <alignment horizontal="right" vertical="center"/>
    </xf>
    <xf numFmtId="0" fontId="19" fillId="3" borderId="0" xfId="11" applyFont="1" applyFill="1" applyAlignment="1">
      <alignment horizontal="left" vertical="center"/>
    </xf>
    <xf numFmtId="0" fontId="19" fillId="3" borderId="0" xfId="11" applyFont="1" applyFill="1" applyBorder="1" applyAlignment="1">
      <alignment horizontal="center" vertical="center"/>
    </xf>
    <xf numFmtId="189" fontId="19" fillId="3" borderId="0" xfId="11" applyNumberFormat="1" applyFont="1" applyFill="1" applyBorder="1" applyAlignment="1">
      <alignment horizontal="right" vertical="center"/>
    </xf>
    <xf numFmtId="0" fontId="19" fillId="3" borderId="0" xfId="11" applyFont="1" applyFill="1" applyBorder="1">
      <alignment vertical="center"/>
    </xf>
    <xf numFmtId="0" fontId="19" fillId="3" borderId="0" xfId="11" applyFont="1" applyFill="1" applyAlignment="1">
      <alignment horizontal="center" vertical="center"/>
    </xf>
    <xf numFmtId="0" fontId="19" fillId="3" borderId="0" xfId="11" applyFont="1" applyFill="1" applyAlignment="1">
      <alignment horizontal="right" vertical="center"/>
    </xf>
    <xf numFmtId="0" fontId="19" fillId="3" borderId="0" xfId="11" applyFont="1" applyFill="1" applyAlignment="1">
      <alignment vertical="center"/>
    </xf>
    <xf numFmtId="0" fontId="18" fillId="3" borderId="8" xfId="0" applyFont="1" applyFill="1" applyBorder="1" applyAlignment="1">
      <alignment horizontal="center" vertical="center"/>
    </xf>
    <xf numFmtId="0" fontId="18" fillId="3" borderId="8" xfId="0" applyFont="1" applyFill="1" applyBorder="1"/>
    <xf numFmtId="0" fontId="23" fillId="3" borderId="0" xfId="11" applyFont="1" applyFill="1">
      <alignment vertical="center"/>
    </xf>
    <xf numFmtId="0" fontId="19" fillId="3" borderId="8" xfId="11" applyFont="1" applyFill="1" applyBorder="1" applyAlignment="1">
      <alignment vertical="center" shrinkToFit="1"/>
    </xf>
    <xf numFmtId="0" fontId="24" fillId="3" borderId="0" xfId="11" applyFont="1" applyFill="1">
      <alignment vertical="center"/>
    </xf>
    <xf numFmtId="0" fontId="23" fillId="0" borderId="0" xfId="11" applyFont="1" applyAlignment="1">
      <alignment horizontal="right" vertical="center"/>
    </xf>
    <xf numFmtId="0" fontId="15" fillId="0" borderId="0" xfId="5" applyFont="1">
      <alignment vertical="center"/>
    </xf>
    <xf numFmtId="0" fontId="15" fillId="0" borderId="20" xfId="5" applyFont="1" applyBorder="1" applyAlignment="1">
      <alignment horizontal="right" vertical="center"/>
    </xf>
    <xf numFmtId="0" fontId="15" fillId="0" borderId="8" xfId="5" applyFont="1" applyBorder="1" applyAlignment="1">
      <alignment horizontal="center" vertical="center"/>
    </xf>
    <xf numFmtId="0" fontId="15" fillId="0" borderId="23" xfId="5" applyFont="1" applyBorder="1">
      <alignment vertical="center"/>
    </xf>
    <xf numFmtId="0" fontId="15" fillId="0" borderId="25" xfId="5" applyFont="1" applyBorder="1" applyAlignment="1">
      <alignment horizontal="left" vertical="center" wrapText="1"/>
    </xf>
    <xf numFmtId="0" fontId="15" fillId="0" borderId="8" xfId="5" applyFont="1" applyBorder="1" applyAlignment="1">
      <alignment vertical="center" textRotation="255"/>
    </xf>
    <xf numFmtId="184" fontId="15" fillId="0" borderId="8" xfId="5" applyNumberFormat="1" applyFont="1" applyBorder="1" applyAlignment="1">
      <alignment horizontal="center" vertical="center"/>
    </xf>
    <xf numFmtId="185" fontId="15" fillId="0" borderId="8" xfId="5" applyNumberFormat="1" applyFont="1" applyBorder="1" applyAlignment="1">
      <alignment horizontal="center" vertical="center"/>
    </xf>
    <xf numFmtId="0" fontId="15" fillId="0" borderId="20" xfId="5" applyFont="1" applyBorder="1" applyAlignment="1">
      <alignment horizontal="center" vertical="center"/>
    </xf>
    <xf numFmtId="0" fontId="15" fillId="0" borderId="25" xfId="5" applyFont="1" applyBorder="1" applyAlignment="1">
      <alignment vertical="center" textRotation="255"/>
    </xf>
    <xf numFmtId="184" fontId="15" fillId="0" borderId="8" xfId="5" applyNumberFormat="1" applyFont="1" applyBorder="1" applyAlignment="1">
      <alignment vertical="center"/>
    </xf>
    <xf numFmtId="186" fontId="15" fillId="0" borderId="8" xfId="5" applyNumberFormat="1" applyFont="1" applyBorder="1" applyAlignment="1">
      <alignment horizontal="center" vertical="center"/>
    </xf>
    <xf numFmtId="0" fontId="15" fillId="0" borderId="8" xfId="5" applyFont="1" applyBorder="1" applyAlignment="1">
      <alignment vertical="center"/>
    </xf>
    <xf numFmtId="187" fontId="15" fillId="0" borderId="8" xfId="5" applyNumberFormat="1" applyFont="1" applyBorder="1" applyAlignment="1">
      <alignment horizontal="center" vertical="center"/>
    </xf>
    <xf numFmtId="38" fontId="15" fillId="0" borderId="28" xfId="1" applyFont="1" applyFill="1" applyBorder="1" applyAlignment="1" applyProtection="1">
      <alignment horizontal="center" vertical="center"/>
      <protection locked="0"/>
    </xf>
    <xf numFmtId="0" fontId="19" fillId="5" borderId="8" xfId="11" applyFont="1" applyFill="1" applyBorder="1" applyAlignment="1" applyProtection="1">
      <alignment horizontal="center" vertical="center"/>
      <protection locked="0"/>
    </xf>
    <xf numFmtId="0" fontId="19" fillId="5" borderId="8" xfId="11" applyFont="1" applyFill="1" applyBorder="1" applyProtection="1">
      <alignment vertical="center"/>
      <protection locked="0"/>
    </xf>
    <xf numFmtId="0" fontId="18" fillId="5" borderId="8" xfId="0" applyFont="1" applyFill="1" applyBorder="1" applyProtection="1">
      <protection locked="0"/>
    </xf>
    <xf numFmtId="0" fontId="19" fillId="0" borderId="8" xfId="11" applyFont="1" applyFill="1" applyBorder="1" applyProtection="1">
      <alignment vertical="center"/>
      <protection locked="0"/>
    </xf>
    <xf numFmtId="192" fontId="15" fillId="0" borderId="3" xfId="1" applyNumberFormat="1" applyFont="1" applyFill="1" applyBorder="1" applyAlignment="1" applyProtection="1">
      <alignment vertical="center"/>
      <protection locked="0"/>
    </xf>
    <xf numFmtId="38" fontId="16" fillId="4" borderId="8" xfId="1" applyFont="1" applyFill="1" applyBorder="1" applyAlignment="1" applyProtection="1">
      <alignment horizontal="distributed" vertical="center" shrinkToFit="1"/>
    </xf>
    <xf numFmtId="38" fontId="15" fillId="0" borderId="27" xfId="1" applyFont="1" applyFill="1" applyBorder="1" applyAlignment="1" applyProtection="1">
      <alignment horizontal="left" vertical="center" justifyLastLine="1"/>
      <protection locked="0"/>
    </xf>
    <xf numFmtId="193" fontId="15" fillId="0" borderId="9" xfId="1" applyNumberFormat="1" applyFont="1" applyFill="1" applyBorder="1" applyAlignment="1" applyProtection="1">
      <alignment horizontal="right" vertical="center" justifyLastLine="1"/>
      <protection locked="0"/>
    </xf>
    <xf numFmtId="38" fontId="10" fillId="2" borderId="9" xfId="1" applyFont="1" applyFill="1" applyBorder="1" applyAlignment="1" applyProtection="1">
      <alignment horizontal="center" vertical="center"/>
      <protection locked="0"/>
    </xf>
    <xf numFmtId="0" fontId="10" fillId="0" borderId="58" xfId="0" applyFont="1" applyFill="1" applyBorder="1"/>
    <xf numFmtId="2" fontId="10" fillId="0" borderId="20" xfId="0" applyNumberFormat="1" applyFont="1" applyFill="1" applyBorder="1"/>
    <xf numFmtId="2" fontId="10" fillId="0" borderId="20" xfId="1" applyNumberFormat="1" applyFont="1" applyFill="1" applyBorder="1" applyAlignment="1">
      <alignment vertical="center"/>
    </xf>
    <xf numFmtId="0" fontId="14" fillId="0" borderId="58" xfId="0" applyFont="1" applyFill="1" applyBorder="1"/>
    <xf numFmtId="2" fontId="14" fillId="0" borderId="20" xfId="0" applyNumberFormat="1" applyFont="1" applyFill="1" applyBorder="1"/>
    <xf numFmtId="2" fontId="14" fillId="0" borderId="20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vertical="center" justifyLastLine="1"/>
    </xf>
    <xf numFmtId="184" fontId="10" fillId="0" borderId="29" xfId="0" applyNumberFormat="1" applyFont="1" applyBorder="1"/>
    <xf numFmtId="184" fontId="10" fillId="0" borderId="30" xfId="0" applyNumberFormat="1" applyFont="1" applyBorder="1"/>
    <xf numFmtId="184" fontId="10" fillId="0" borderId="28" xfId="0" applyNumberFormat="1" applyFont="1" applyFill="1" applyBorder="1"/>
    <xf numFmtId="0" fontId="10" fillId="2" borderId="45" xfId="0" applyFont="1" applyFill="1" applyBorder="1" applyAlignment="1">
      <alignment horizontal="center" vertical="center"/>
    </xf>
    <xf numFmtId="2" fontId="10" fillId="0" borderId="6" xfId="1" applyNumberFormat="1" applyFont="1" applyFill="1" applyBorder="1" applyAlignment="1">
      <alignment vertical="center"/>
    </xf>
    <xf numFmtId="2" fontId="14" fillId="0" borderId="6" xfId="1" applyNumberFormat="1" applyFont="1" applyFill="1" applyBorder="1" applyAlignment="1">
      <alignment vertical="center"/>
    </xf>
    <xf numFmtId="0" fontId="10" fillId="0" borderId="8" xfId="1" applyNumberFormat="1" applyFont="1" applyFill="1" applyBorder="1" applyAlignment="1">
      <alignment vertical="center" justifyLastLine="1"/>
    </xf>
    <xf numFmtId="38" fontId="15" fillId="0" borderId="8" xfId="1" applyNumberFormat="1" applyFont="1" applyFill="1" applyBorder="1" applyAlignment="1" applyProtection="1">
      <alignment horizontal="right" vertical="center" justifyLastLine="1"/>
      <protection locked="0"/>
    </xf>
    <xf numFmtId="2" fontId="10" fillId="0" borderId="27" xfId="1" applyNumberFormat="1" applyFont="1" applyFill="1" applyBorder="1" applyAlignment="1">
      <alignment vertical="center"/>
    </xf>
    <xf numFmtId="2" fontId="14" fillId="0" borderId="27" xfId="1" applyNumberFormat="1" applyFont="1" applyFill="1" applyBorder="1" applyAlignment="1">
      <alignment vertical="center"/>
    </xf>
    <xf numFmtId="38" fontId="10" fillId="2" borderId="7" xfId="1" applyFont="1" applyFill="1" applyBorder="1" applyAlignment="1" applyProtection="1">
      <alignment horizontal="center" vertical="center"/>
      <protection locked="0"/>
    </xf>
    <xf numFmtId="38" fontId="15" fillId="7" borderId="0" xfId="1" applyFont="1" applyFill="1" applyAlignment="1" applyProtection="1">
      <alignment vertical="center"/>
    </xf>
    <xf numFmtId="38" fontId="15" fillId="7" borderId="0" xfId="1" applyFont="1" applyFill="1" applyAlignment="1" applyProtection="1">
      <alignment horizontal="right" vertical="center"/>
    </xf>
    <xf numFmtId="38" fontId="15" fillId="0" borderId="0" xfId="1" applyFont="1" applyFill="1" applyAlignment="1" applyProtection="1">
      <alignment vertical="center"/>
    </xf>
    <xf numFmtId="38" fontId="15" fillId="7" borderId="0" xfId="1" quotePrefix="1" applyFont="1" applyFill="1" applyAlignment="1" applyProtection="1">
      <alignment vertical="center"/>
    </xf>
    <xf numFmtId="38" fontId="16" fillId="4" borderId="8" xfId="1" applyFont="1" applyFill="1" applyBorder="1" applyAlignment="1" applyProtection="1">
      <alignment horizontal="center" vertical="center" shrinkToFit="1"/>
    </xf>
    <xf numFmtId="38" fontId="15" fillId="6" borderId="0" xfId="1" applyFont="1" applyFill="1" applyAlignment="1" applyProtection="1">
      <alignment vertical="center"/>
    </xf>
    <xf numFmtId="38" fontId="15" fillId="3" borderId="20" xfId="1" applyFont="1" applyFill="1" applyBorder="1" applyAlignment="1" applyProtection="1">
      <alignment horizontal="center" vertical="center" shrinkToFit="1"/>
    </xf>
    <xf numFmtId="38" fontId="15" fillId="3" borderId="9" xfId="1" applyFont="1" applyFill="1" applyBorder="1" applyAlignment="1" applyProtection="1">
      <alignment horizontal="center" vertical="center" shrinkToFit="1"/>
    </xf>
    <xf numFmtId="38" fontId="15" fillId="3" borderId="8" xfId="1" applyFont="1" applyFill="1" applyBorder="1" applyAlignment="1" applyProtection="1">
      <alignment horizontal="center" vertical="center" shrinkToFit="1"/>
    </xf>
    <xf numFmtId="38" fontId="15" fillId="3" borderId="21" xfId="1" applyFont="1" applyFill="1" applyBorder="1" applyAlignment="1" applyProtection="1">
      <alignment horizontal="center" vertical="center" shrinkToFit="1"/>
    </xf>
    <xf numFmtId="38" fontId="15" fillId="3" borderId="23" xfId="1" applyFont="1" applyFill="1" applyBorder="1" applyAlignment="1" applyProtection="1">
      <alignment horizontal="center" vertical="center" shrinkToFit="1"/>
    </xf>
    <xf numFmtId="38" fontId="15" fillId="3" borderId="24" xfId="1" applyFont="1" applyFill="1" applyBorder="1" applyAlignment="1" applyProtection="1">
      <alignment horizontal="center" vertical="center" shrinkToFit="1"/>
    </xf>
    <xf numFmtId="38" fontId="15" fillId="2" borderId="8" xfId="1" applyFont="1" applyFill="1" applyBorder="1" applyAlignment="1" applyProtection="1">
      <alignment horizontal="center" vertical="center"/>
    </xf>
    <xf numFmtId="38" fontId="15" fillId="3" borderId="25" xfId="1" applyFont="1" applyFill="1" applyBorder="1" applyAlignment="1" applyProtection="1">
      <alignment horizontal="center" vertical="center" shrinkToFit="1"/>
    </xf>
    <xf numFmtId="38" fontId="15" fillId="3" borderId="26" xfId="1" applyFont="1" applyFill="1" applyBorder="1" applyAlignment="1" applyProtection="1">
      <alignment horizontal="center" vertical="center" shrinkToFit="1"/>
    </xf>
    <xf numFmtId="181" fontId="15" fillId="3" borderId="8" xfId="1" applyNumberFormat="1" applyFont="1" applyFill="1" applyBorder="1" applyAlignment="1" applyProtection="1">
      <alignment vertical="center"/>
    </xf>
    <xf numFmtId="38" fontId="15" fillId="3" borderId="8" xfId="1" applyNumberFormat="1" applyFont="1" applyFill="1" applyBorder="1" applyAlignment="1" applyProtection="1">
      <alignment vertical="center"/>
    </xf>
    <xf numFmtId="38" fontId="15" fillId="5" borderId="8" xfId="1" applyFont="1" applyFill="1" applyBorder="1" applyAlignment="1" applyProtection="1">
      <alignment vertical="center"/>
    </xf>
    <xf numFmtId="182" fontId="15" fillId="3" borderId="8" xfId="1" applyNumberFormat="1" applyFont="1" applyFill="1" applyBorder="1" applyAlignment="1" applyProtection="1">
      <alignment vertical="center"/>
    </xf>
    <xf numFmtId="38" fontId="15" fillId="3" borderId="8" xfId="1" applyFont="1" applyFill="1" applyBorder="1" applyAlignment="1" applyProtection="1">
      <alignment vertical="center"/>
    </xf>
    <xf numFmtId="183" fontId="15" fillId="3" borderId="27" xfId="1" applyNumberFormat="1" applyFont="1" applyFill="1" applyBorder="1" applyAlignment="1" applyProtection="1">
      <alignment vertical="center"/>
    </xf>
    <xf numFmtId="40" fontId="15" fillId="3" borderId="8" xfId="1" applyNumberFormat="1" applyFont="1" applyFill="1" applyBorder="1" applyAlignment="1" applyProtection="1">
      <alignment vertical="center"/>
    </xf>
    <xf numFmtId="0" fontId="15" fillId="7" borderId="0" xfId="0" applyFont="1" applyFill="1" applyProtection="1"/>
    <xf numFmtId="0" fontId="15" fillId="0" borderId="0" xfId="0" applyFont="1" applyFill="1" applyProtection="1"/>
    <xf numFmtId="38" fontId="17" fillId="7" borderId="0" xfId="1" applyFont="1" applyFill="1" applyAlignment="1" applyProtection="1">
      <alignment vertical="center"/>
    </xf>
    <xf numFmtId="38" fontId="17" fillId="0" borderId="0" xfId="1" applyFont="1" applyFill="1" applyAlignment="1" applyProtection="1">
      <alignment vertical="center"/>
    </xf>
    <xf numFmtId="0" fontId="15" fillId="7" borderId="0" xfId="0" applyFont="1" applyFill="1" applyBorder="1" applyProtection="1"/>
    <xf numFmtId="0" fontId="15" fillId="0" borderId="0" xfId="0" applyFont="1" applyFill="1" applyBorder="1" applyProtection="1"/>
    <xf numFmtId="38" fontId="15" fillId="0" borderId="0" xfId="1" applyFont="1" applyFill="1" applyBorder="1" applyAlignment="1" applyProtection="1">
      <alignment horizontal="left" vertical="center"/>
    </xf>
    <xf numFmtId="38" fontId="15" fillId="0" borderId="0" xfId="1" applyFont="1" applyFill="1" applyAlignment="1" applyProtection="1">
      <alignment horizontal="center" vertical="center"/>
    </xf>
    <xf numFmtId="38" fontId="15" fillId="7" borderId="0" xfId="1" applyFont="1" applyFill="1" applyBorder="1" applyAlignment="1" applyProtection="1">
      <alignment horizontal="center" vertical="center"/>
    </xf>
    <xf numFmtId="180" fontId="15" fillId="7" borderId="0" xfId="1" applyNumberFormat="1" applyFont="1" applyFill="1" applyBorder="1" applyAlignment="1" applyProtection="1">
      <alignment vertical="center"/>
    </xf>
    <xf numFmtId="38" fontId="15" fillId="0" borderId="15" xfId="1" applyNumberFormat="1" applyFont="1" applyFill="1" applyBorder="1" applyAlignment="1" applyProtection="1">
      <alignment horizontal="right" vertical="center" justifyLastLine="1"/>
      <protection locked="0"/>
    </xf>
    <xf numFmtId="38" fontId="15" fillId="2" borderId="2" xfId="1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 applyProtection="1">
      <alignment horizontal="center" vertical="center"/>
    </xf>
    <xf numFmtId="38" fontId="15" fillId="2" borderId="61" xfId="1" applyFont="1" applyFill="1" applyBorder="1" applyAlignment="1" applyProtection="1">
      <alignment horizontal="center" vertical="center"/>
    </xf>
    <xf numFmtId="38" fontId="15" fillId="2" borderId="6" xfId="1" applyFont="1" applyFill="1" applyBorder="1" applyAlignment="1" applyProtection="1">
      <alignment vertical="center"/>
    </xf>
    <xf numFmtId="38" fontId="15" fillId="2" borderId="59" xfId="1" applyFont="1" applyFill="1" applyBorder="1" applyAlignment="1" applyProtection="1">
      <alignment vertical="center"/>
    </xf>
    <xf numFmtId="38" fontId="15" fillId="2" borderId="62" xfId="1" applyFont="1" applyFill="1" applyBorder="1" applyAlignment="1" applyProtection="1">
      <alignment vertical="center"/>
    </xf>
    <xf numFmtId="38" fontId="15" fillId="2" borderId="47" xfId="1" applyFont="1" applyFill="1" applyBorder="1" applyAlignment="1" applyProtection="1">
      <alignment vertical="center"/>
    </xf>
    <xf numFmtId="40" fontId="15" fillId="0" borderId="7" xfId="1" applyNumberFormat="1" applyFont="1" applyFill="1" applyBorder="1" applyAlignment="1" applyProtection="1">
      <alignment vertical="center"/>
      <protection locked="0"/>
    </xf>
    <xf numFmtId="38" fontId="15" fillId="2" borderId="12" xfId="1" applyFont="1" applyFill="1" applyBorder="1" applyAlignment="1" applyProtection="1">
      <alignment vertical="center"/>
    </xf>
    <xf numFmtId="40" fontId="15" fillId="0" borderId="16" xfId="1" applyNumberFormat="1" applyFont="1" applyFill="1" applyBorder="1" applyAlignment="1" applyProtection="1">
      <alignment vertical="center"/>
      <protection locked="0"/>
    </xf>
    <xf numFmtId="0" fontId="10" fillId="0" borderId="27" xfId="1" applyNumberFormat="1" applyFont="1" applyFill="1" applyBorder="1" applyAlignment="1">
      <alignment vertical="center" justifyLastLine="1"/>
    </xf>
    <xf numFmtId="2" fontId="14" fillId="0" borderId="21" xfId="1" applyNumberFormat="1" applyFont="1" applyFill="1" applyBorder="1" applyAlignment="1">
      <alignment vertical="center"/>
    </xf>
    <xf numFmtId="0" fontId="10" fillId="0" borderId="63" xfId="0" applyNumberFormat="1" applyFont="1" applyBorder="1"/>
    <xf numFmtId="2" fontId="10" fillId="0" borderId="64" xfId="1" applyNumberFormat="1" applyFont="1" applyFill="1" applyBorder="1" applyAlignment="1">
      <alignment vertical="center"/>
    </xf>
    <xf numFmtId="2" fontId="14" fillId="0" borderId="64" xfId="1" applyNumberFormat="1" applyFont="1" applyFill="1" applyBorder="1" applyAlignment="1">
      <alignment vertical="center"/>
    </xf>
    <xf numFmtId="2" fontId="14" fillId="0" borderId="65" xfId="1" applyNumberFormat="1" applyFont="1" applyFill="1" applyBorder="1" applyAlignment="1">
      <alignment vertical="center"/>
    </xf>
    <xf numFmtId="0" fontId="10" fillId="0" borderId="19" xfId="0" applyNumberFormat="1" applyFont="1" applyFill="1" applyBorder="1"/>
    <xf numFmtId="0" fontId="10" fillId="2" borderId="1" xfId="0" applyFont="1" applyFill="1" applyBorder="1" applyAlignment="1">
      <alignment vertical="center"/>
    </xf>
    <xf numFmtId="0" fontId="10" fillId="2" borderId="44" xfId="0" applyFont="1" applyFill="1" applyBorder="1" applyAlignment="1">
      <alignment vertical="center"/>
    </xf>
    <xf numFmtId="0" fontId="10" fillId="2" borderId="60" xfId="0" applyFont="1" applyFill="1" applyBorder="1" applyAlignment="1">
      <alignment vertical="center"/>
    </xf>
    <xf numFmtId="38" fontId="10" fillId="2" borderId="5" xfId="1" applyFont="1" applyFill="1" applyBorder="1" applyAlignment="1" applyProtection="1">
      <alignment horizontal="center" vertical="center"/>
      <protection locked="0"/>
    </xf>
    <xf numFmtId="2" fontId="14" fillId="0" borderId="58" xfId="1" applyNumberFormat="1" applyFont="1" applyFill="1" applyBorder="1" applyAlignment="1">
      <alignment vertical="center"/>
    </xf>
    <xf numFmtId="0" fontId="10" fillId="0" borderId="17" xfId="0" applyNumberFormat="1" applyFont="1" applyFill="1" applyBorder="1"/>
    <xf numFmtId="38" fontId="10" fillId="2" borderId="7" xfId="1" applyFont="1" applyFill="1" applyBorder="1" applyAlignment="1">
      <alignment horizontal="center" vertical="center"/>
    </xf>
    <xf numFmtId="40" fontId="10" fillId="0" borderId="7" xfId="1" applyNumberFormat="1" applyFont="1" applyFill="1" applyBorder="1" applyAlignment="1">
      <alignment vertical="center"/>
    </xf>
    <xf numFmtId="40" fontId="14" fillId="0" borderId="7" xfId="1" applyNumberFormat="1" applyFont="1" applyFill="1" applyBorder="1" applyAlignment="1">
      <alignment vertical="center"/>
    </xf>
    <xf numFmtId="2" fontId="10" fillId="0" borderId="59" xfId="0" applyNumberFormat="1" applyFont="1" applyFill="1" applyBorder="1"/>
    <xf numFmtId="38" fontId="14" fillId="0" borderId="59" xfId="1" applyFont="1" applyFill="1" applyBorder="1" applyAlignment="1">
      <alignment vertical="center"/>
    </xf>
    <xf numFmtId="38" fontId="15" fillId="2" borderId="22" xfId="1" applyFont="1" applyFill="1" applyBorder="1" applyAlignment="1" applyProtection="1">
      <alignment horizontal="center" vertical="center" shrinkToFit="1"/>
    </xf>
    <xf numFmtId="38" fontId="15" fillId="2" borderId="7" xfId="1" applyFont="1" applyFill="1" applyBorder="1" applyAlignment="1" applyProtection="1">
      <alignment horizontal="center" vertical="center" shrinkToFit="1"/>
    </xf>
    <xf numFmtId="38" fontId="15" fillId="2" borderId="8" xfId="1" applyFont="1" applyFill="1" applyBorder="1" applyAlignment="1" applyProtection="1">
      <alignment horizontal="distributed" vertical="center" shrinkToFit="1"/>
    </xf>
    <xf numFmtId="38" fontId="15" fillId="2" borderId="8" xfId="1" applyFont="1" applyFill="1" applyBorder="1" applyAlignment="1" applyProtection="1">
      <alignment horizontal="center" vertical="center" shrinkToFit="1"/>
    </xf>
    <xf numFmtId="38" fontId="15" fillId="2" borderId="7" xfId="1" applyFont="1" applyFill="1" applyBorder="1" applyAlignment="1" applyProtection="1">
      <alignment horizontal="distributed" vertical="center" shrinkToFit="1"/>
    </xf>
    <xf numFmtId="38" fontId="15" fillId="2" borderId="4" xfId="1" applyFont="1" applyFill="1" applyBorder="1" applyAlignment="1" applyProtection="1">
      <alignment horizontal="center" vertical="center" shrinkToFit="1"/>
    </xf>
    <xf numFmtId="38" fontId="15" fillId="2" borderId="3" xfId="1" applyFont="1" applyFill="1" applyBorder="1" applyAlignment="1" applyProtection="1">
      <alignment horizontal="center" vertical="center" shrinkToFit="1"/>
    </xf>
    <xf numFmtId="40" fontId="15" fillId="2" borderId="8" xfId="1" applyNumberFormat="1" applyFont="1" applyFill="1" applyBorder="1" applyAlignment="1" applyProtection="1">
      <alignment horizontal="right" vertical="center" justifyLastLine="1"/>
    </xf>
    <xf numFmtId="192" fontId="15" fillId="2" borderId="7" xfId="1" applyNumberFormat="1" applyFont="1" applyFill="1" applyBorder="1" applyAlignment="1" applyProtection="1">
      <alignment vertical="center"/>
    </xf>
    <xf numFmtId="38" fontId="15" fillId="2" borderId="30" xfId="1" applyFont="1" applyFill="1" applyBorder="1" applyAlignment="1" applyProtection="1">
      <alignment horizontal="center" vertical="center"/>
    </xf>
    <xf numFmtId="192" fontId="15" fillId="2" borderId="16" xfId="1" applyNumberFormat="1" applyFont="1" applyFill="1" applyBorder="1" applyAlignment="1" applyProtection="1">
      <alignment horizontal="right" vertical="center"/>
    </xf>
    <xf numFmtId="38" fontId="15" fillId="2" borderId="43" xfId="1" applyFont="1" applyFill="1" applyBorder="1" applyAlignment="1" applyProtection="1">
      <alignment horizontal="center" vertical="center"/>
    </xf>
    <xf numFmtId="38" fontId="15" fillId="2" borderId="13" xfId="1" applyFont="1" applyFill="1" applyBorder="1" applyAlignment="1" applyProtection="1">
      <alignment horizontal="center" vertical="center"/>
    </xf>
    <xf numFmtId="38" fontId="15" fillId="2" borderId="28" xfId="1" applyFont="1" applyFill="1" applyBorder="1" applyAlignment="1" applyProtection="1">
      <alignment horizontal="center" vertical="center"/>
    </xf>
    <xf numFmtId="38" fontId="15" fillId="2" borderId="33" xfId="1" applyFont="1" applyFill="1" applyBorder="1" applyAlignment="1" applyProtection="1">
      <alignment horizontal="left" vertical="center"/>
    </xf>
    <xf numFmtId="38" fontId="15" fillId="2" borderId="44" xfId="1" applyFont="1" applyFill="1" applyBorder="1" applyAlignment="1" applyProtection="1">
      <alignment horizontal="left" vertical="center"/>
    </xf>
    <xf numFmtId="40" fontId="15" fillId="2" borderId="44" xfId="1" applyNumberFormat="1" applyFont="1" applyFill="1" applyBorder="1" applyAlignment="1" applyProtection="1">
      <alignment horizontal="center" vertical="center"/>
    </xf>
    <xf numFmtId="38" fontId="15" fillId="2" borderId="44" xfId="1" applyFont="1" applyFill="1" applyBorder="1" applyAlignment="1" applyProtection="1">
      <alignment horizontal="center" vertical="center"/>
    </xf>
    <xf numFmtId="181" fontId="15" fillId="2" borderId="44" xfId="1" applyNumberFormat="1" applyFont="1" applyFill="1" applyBorder="1" applyAlignment="1" applyProtection="1">
      <alignment horizontal="left" vertical="center"/>
    </xf>
    <xf numFmtId="192" fontId="15" fillId="2" borderId="3" xfId="1" applyNumberFormat="1" applyFont="1" applyFill="1" applyBorder="1" applyAlignment="1" applyProtection="1">
      <alignment vertical="center"/>
    </xf>
    <xf numFmtId="38" fontId="15" fillId="2" borderId="9" xfId="1" applyFont="1" applyFill="1" applyBorder="1" applyAlignment="1" applyProtection="1">
      <alignment horizontal="left" vertical="center"/>
    </xf>
    <xf numFmtId="38" fontId="15" fillId="2" borderId="9" xfId="1" applyFont="1" applyFill="1" applyBorder="1" applyAlignment="1" applyProtection="1">
      <alignment horizontal="center" vertical="center"/>
    </xf>
    <xf numFmtId="192" fontId="15" fillId="2" borderId="16" xfId="1" applyNumberFormat="1" applyFont="1" applyFill="1" applyBorder="1" applyAlignment="1" applyProtection="1">
      <alignment vertical="center"/>
    </xf>
    <xf numFmtId="38" fontId="15" fillId="2" borderId="31" xfId="1" applyFont="1" applyFill="1" applyBorder="1" applyAlignment="1" applyProtection="1">
      <alignment horizontal="center" vertical="center"/>
    </xf>
    <xf numFmtId="38" fontId="15" fillId="2" borderId="37" xfId="1" applyFont="1" applyFill="1" applyBorder="1" applyAlignment="1" applyProtection="1">
      <alignment horizontal="center" vertical="center"/>
    </xf>
    <xf numFmtId="38" fontId="15" fillId="2" borderId="13" xfId="1" applyFont="1" applyFill="1" applyBorder="1" applyAlignment="1" applyProtection="1">
      <alignment horizontal="left" vertical="center"/>
    </xf>
    <xf numFmtId="38" fontId="15" fillId="2" borderId="28" xfId="1" applyFont="1" applyFill="1" applyBorder="1" applyAlignment="1" applyProtection="1">
      <alignment horizontal="left" vertical="center"/>
    </xf>
    <xf numFmtId="192" fontId="15" fillId="2" borderId="47" xfId="1" applyNumberFormat="1" applyFont="1" applyFill="1" applyBorder="1" applyAlignment="1" applyProtection="1">
      <alignment vertical="center"/>
    </xf>
    <xf numFmtId="40" fontId="15" fillId="2" borderId="28" xfId="1" applyNumberFormat="1" applyFont="1" applyFill="1" applyBorder="1" applyAlignment="1" applyProtection="1">
      <alignment horizontal="center" vertical="center"/>
    </xf>
    <xf numFmtId="40" fontId="15" fillId="2" borderId="8" xfId="1" applyNumberFormat="1" applyFont="1" applyFill="1" applyBorder="1" applyAlignment="1" applyProtection="1">
      <alignment horizontal="center" vertical="center"/>
    </xf>
    <xf numFmtId="38" fontId="15" fillId="2" borderId="8" xfId="1" applyNumberFormat="1" applyFont="1" applyFill="1" applyBorder="1" applyAlignment="1" applyProtection="1">
      <alignment horizontal="right" vertical="center" indent="1" justifyLastLine="1"/>
    </xf>
    <xf numFmtId="194" fontId="19" fillId="3" borderId="8" xfId="11" applyNumberFormat="1" applyFont="1" applyFill="1" applyBorder="1">
      <alignment vertical="center"/>
    </xf>
    <xf numFmtId="195" fontId="19" fillId="3" borderId="8" xfId="11" applyNumberFormat="1" applyFont="1" applyFill="1" applyBorder="1">
      <alignment vertical="center"/>
    </xf>
    <xf numFmtId="0" fontId="10" fillId="2" borderId="9" xfId="0" applyNumberFormat="1" applyFont="1" applyFill="1" applyBorder="1" applyAlignment="1" applyProtection="1">
      <alignment horizontal="distributed" vertical="center" indent="1"/>
    </xf>
    <xf numFmtId="0" fontId="10" fillId="2" borderId="9" xfId="1" applyNumberFormat="1" applyFont="1" applyFill="1" applyBorder="1" applyAlignment="1" applyProtection="1">
      <alignment horizontal="distributed" vertical="center" indent="1"/>
    </xf>
    <xf numFmtId="38" fontId="10" fillId="0" borderId="8" xfId="1" applyNumberFormat="1" applyFont="1" applyFill="1" applyBorder="1" applyAlignment="1" applyProtection="1">
      <alignment horizontal="distributed" vertical="center" indent="1"/>
      <protection locked="0"/>
    </xf>
    <xf numFmtId="0" fontId="10" fillId="2" borderId="8" xfId="1" applyNumberFormat="1" applyFont="1" applyFill="1" applyBorder="1" applyAlignment="1" applyProtection="1">
      <alignment horizontal="distributed" vertical="center" indent="1"/>
    </xf>
    <xf numFmtId="0" fontId="10" fillId="2" borderId="15" xfId="1" applyNumberFormat="1" applyFont="1" applyFill="1" applyBorder="1" applyAlignment="1" applyProtection="1">
      <alignment horizontal="distributed" vertical="center" indent="1"/>
    </xf>
    <xf numFmtId="38" fontId="26" fillId="7" borderId="0" xfId="1" applyFont="1" applyFill="1" applyAlignment="1" applyProtection="1">
      <alignment vertical="center"/>
    </xf>
    <xf numFmtId="38" fontId="15" fillId="2" borderId="1" xfId="1" applyFont="1" applyFill="1" applyBorder="1" applyAlignment="1" applyProtection="1">
      <alignment horizontal="center" vertical="center" shrinkToFit="1"/>
    </xf>
    <xf numFmtId="38" fontId="15" fillId="2" borderId="5" xfId="1" applyFont="1" applyFill="1" applyBorder="1" applyAlignment="1" applyProtection="1">
      <alignment horizontal="distributed" vertical="center" shrinkToFit="1"/>
    </xf>
    <xf numFmtId="38" fontId="15" fillId="0" borderId="5" xfId="1" applyFont="1" applyFill="1" applyBorder="1" applyAlignment="1" applyProtection="1">
      <alignment vertical="center"/>
      <protection locked="0"/>
    </xf>
    <xf numFmtId="38" fontId="15" fillId="0" borderId="5" xfId="1" applyNumberFormat="1" applyFont="1" applyFill="1" applyBorder="1" applyAlignment="1" applyProtection="1">
      <alignment vertical="center"/>
      <protection locked="0"/>
    </xf>
    <xf numFmtId="38" fontId="15" fillId="0" borderId="11" xfId="1" applyNumberFormat="1" applyFont="1" applyFill="1" applyBorder="1" applyAlignment="1" applyProtection="1">
      <alignment vertical="center"/>
      <protection locked="0"/>
    </xf>
    <xf numFmtId="40" fontId="15" fillId="0" borderId="64" xfId="1" applyNumberFormat="1" applyFont="1" applyFill="1" applyBorder="1" applyAlignment="1" applyProtection="1">
      <alignment vertical="center"/>
      <protection locked="0"/>
    </xf>
    <xf numFmtId="193" fontId="15" fillId="0" borderId="13" xfId="1" applyNumberFormat="1" applyFont="1" applyFill="1" applyBorder="1" applyAlignment="1" applyProtection="1">
      <alignment horizontal="right" vertical="center" justifyLastLine="1"/>
      <protection locked="0"/>
    </xf>
    <xf numFmtId="38" fontId="15" fillId="0" borderId="56" xfId="1" applyFont="1" applyFill="1" applyBorder="1" applyAlignment="1" applyProtection="1">
      <alignment horizontal="left" vertical="center" justifyLastLine="1"/>
      <protection locked="0"/>
    </xf>
    <xf numFmtId="38" fontId="15" fillId="0" borderId="15" xfId="1" applyFont="1" applyFill="1" applyBorder="1" applyAlignment="1" applyProtection="1">
      <alignment horizontal="left" vertical="center"/>
      <protection locked="0"/>
    </xf>
    <xf numFmtId="38" fontId="15" fillId="0" borderId="15" xfId="1" applyFont="1" applyFill="1" applyBorder="1" applyAlignment="1" applyProtection="1">
      <alignment horizontal="center" vertical="center" justifyLastLine="1"/>
      <protection locked="0"/>
    </xf>
    <xf numFmtId="40" fontId="15" fillId="0" borderId="66" xfId="1" applyNumberFormat="1" applyFont="1" applyFill="1" applyBorder="1" applyAlignment="1" applyProtection="1">
      <alignment vertical="center"/>
      <protection locked="0"/>
    </xf>
    <xf numFmtId="0" fontId="15" fillId="2" borderId="8" xfId="0" applyFont="1" applyFill="1" applyBorder="1" applyAlignment="1" applyProtection="1">
      <alignment horizontal="distributed"/>
    </xf>
    <xf numFmtId="0" fontId="15" fillId="2" borderId="15" xfId="0" applyFont="1" applyFill="1" applyBorder="1" applyAlignment="1" applyProtection="1">
      <alignment horizontal="distributed"/>
    </xf>
    <xf numFmtId="193" fontId="15" fillId="2" borderId="9" xfId="1" applyNumberFormat="1" applyFont="1" applyFill="1" applyBorder="1" applyAlignment="1" applyProtection="1">
      <alignment horizontal="right" vertical="center" justifyLastLine="1"/>
    </xf>
    <xf numFmtId="38" fontId="15" fillId="2" borderId="27" xfId="1" applyFont="1" applyFill="1" applyBorder="1" applyAlignment="1" applyProtection="1">
      <alignment horizontal="left" vertical="center" justifyLastLine="1"/>
    </xf>
    <xf numFmtId="38" fontId="15" fillId="2" borderId="8" xfId="1" applyFont="1" applyFill="1" applyBorder="1" applyAlignment="1" applyProtection="1">
      <alignment horizontal="center" vertical="center" justifyLastLine="1"/>
    </xf>
    <xf numFmtId="0" fontId="15" fillId="2" borderId="6" xfId="0" applyFont="1" applyFill="1" applyBorder="1" applyAlignment="1" applyProtection="1">
      <alignment horizontal="distributed"/>
    </xf>
    <xf numFmtId="0" fontId="15" fillId="2" borderId="68" xfId="0" applyFont="1" applyFill="1" applyBorder="1" applyAlignment="1" applyProtection="1">
      <alignment horizontal="distributed"/>
    </xf>
    <xf numFmtId="193" fontId="15" fillId="2" borderId="31" xfId="1" applyNumberFormat="1" applyFont="1" applyFill="1" applyBorder="1" applyAlignment="1" applyProtection="1">
      <alignment horizontal="right" vertical="center" justifyLastLine="1"/>
    </xf>
    <xf numFmtId="38" fontId="15" fillId="2" borderId="26" xfId="1" applyFont="1" applyFill="1" applyBorder="1" applyAlignment="1" applyProtection="1">
      <alignment horizontal="left" vertical="center" justifyLastLine="1"/>
    </xf>
    <xf numFmtId="38" fontId="15" fillId="2" borderId="25" xfId="1" applyFont="1" applyFill="1" applyBorder="1" applyAlignment="1" applyProtection="1">
      <alignment horizontal="center" vertical="center"/>
    </xf>
    <xf numFmtId="38" fontId="15" fillId="2" borderId="25" xfId="1" applyFont="1" applyFill="1" applyBorder="1" applyAlignment="1" applyProtection="1">
      <alignment horizontal="center" vertical="center" justifyLastLine="1"/>
    </xf>
    <xf numFmtId="40" fontId="15" fillId="2" borderId="25" xfId="1" applyNumberFormat="1" applyFont="1" applyFill="1" applyBorder="1" applyAlignment="1" applyProtection="1">
      <alignment horizontal="center" vertical="center"/>
    </xf>
    <xf numFmtId="40" fontId="15" fillId="2" borderId="25" xfId="1" applyNumberFormat="1" applyFont="1" applyFill="1" applyBorder="1" applyAlignment="1" applyProtection="1">
      <alignment horizontal="right" vertical="center" justifyLastLine="1"/>
    </xf>
    <xf numFmtId="38" fontId="15" fillId="2" borderId="25" xfId="1" applyNumberFormat="1" applyFont="1" applyFill="1" applyBorder="1" applyAlignment="1" applyProtection="1">
      <alignment horizontal="right" vertical="center" indent="1" justifyLastLine="1"/>
    </xf>
    <xf numFmtId="38" fontId="15" fillId="2" borderId="15" xfId="1" applyFont="1" applyFill="1" applyBorder="1" applyAlignment="1" applyProtection="1">
      <alignment horizontal="center" vertical="center" shrinkToFit="1"/>
    </xf>
    <xf numFmtId="38" fontId="15" fillId="2" borderId="16" xfId="1" applyFont="1" applyFill="1" applyBorder="1" applyAlignment="1" applyProtection="1">
      <alignment horizontal="center" vertical="center" shrinkToFit="1"/>
    </xf>
    <xf numFmtId="38" fontId="25" fillId="2" borderId="0" xfId="1" applyFont="1" applyFill="1" applyBorder="1" applyAlignment="1" applyProtection="1">
      <alignment vertical="center"/>
    </xf>
    <xf numFmtId="38" fontId="15" fillId="2" borderId="9" xfId="1" applyFont="1" applyFill="1" applyBorder="1" applyAlignment="1" applyProtection="1">
      <alignment horizontal="center" vertical="center"/>
    </xf>
    <xf numFmtId="38" fontId="25" fillId="2" borderId="0" xfId="1" applyFont="1" applyFill="1" applyBorder="1" applyAlignment="1" applyProtection="1">
      <alignment vertical="center"/>
    </xf>
    <xf numFmtId="38" fontId="15" fillId="3" borderId="9" xfId="1" applyFont="1" applyFill="1" applyBorder="1" applyAlignment="1" applyProtection="1">
      <alignment horizontal="center" vertical="center" shrinkToFit="1"/>
    </xf>
    <xf numFmtId="49" fontId="15" fillId="0" borderId="33" xfId="1" applyNumberFormat="1" applyFont="1" applyFill="1" applyBorder="1" applyAlignment="1" applyProtection="1">
      <alignment horizontal="center" vertical="center"/>
      <protection locked="0"/>
    </xf>
    <xf numFmtId="0" fontId="1" fillId="0" borderId="0" xfId="14">
      <alignment vertical="center"/>
    </xf>
    <xf numFmtId="0" fontId="1" fillId="0" borderId="73" xfId="14" applyBorder="1">
      <alignment vertical="center"/>
    </xf>
    <xf numFmtId="0" fontId="1" fillId="0" borderId="29" xfId="14" applyBorder="1">
      <alignment vertical="center"/>
    </xf>
    <xf numFmtId="0" fontId="1" fillId="0" borderId="30" xfId="14" applyBorder="1">
      <alignment vertical="center"/>
    </xf>
    <xf numFmtId="0" fontId="1" fillId="0" borderId="31" xfId="14" applyBorder="1">
      <alignment vertical="center"/>
    </xf>
    <xf numFmtId="0" fontId="1" fillId="0" borderId="74" xfId="14" applyBorder="1">
      <alignment vertical="center"/>
    </xf>
    <xf numFmtId="0" fontId="1" fillId="0" borderId="8" xfId="14" applyBorder="1" applyAlignment="1">
      <alignment horizontal="center" vertical="center"/>
    </xf>
    <xf numFmtId="0" fontId="1" fillId="0" borderId="9" xfId="14" applyBorder="1">
      <alignment vertical="center"/>
    </xf>
    <xf numFmtId="2" fontId="1" fillId="0" borderId="8" xfId="14" applyNumberFormat="1" applyBorder="1">
      <alignment vertical="center"/>
    </xf>
    <xf numFmtId="38" fontId="15" fillId="2" borderId="9" xfId="1" applyFont="1" applyFill="1" applyBorder="1" applyAlignment="1" applyProtection="1">
      <alignment horizontal="center" vertical="center"/>
    </xf>
    <xf numFmtId="38" fontId="25" fillId="2" borderId="0" xfId="1" applyFont="1" applyFill="1" applyBorder="1" applyAlignment="1" applyProtection="1">
      <alignment vertical="center"/>
    </xf>
    <xf numFmtId="38" fontId="15" fillId="3" borderId="9" xfId="1" applyFont="1" applyFill="1" applyBorder="1" applyAlignment="1" applyProtection="1">
      <alignment horizontal="center" vertical="center" shrinkToFit="1"/>
    </xf>
    <xf numFmtId="191" fontId="10" fillId="0" borderId="0" xfId="12" applyNumberFormat="1" applyFont="1" applyProtection="1">
      <protection locked="0"/>
    </xf>
    <xf numFmtId="0" fontId="27" fillId="0" borderId="0" xfId="1" applyNumberFormat="1" applyFont="1" applyFill="1" applyBorder="1" applyAlignment="1">
      <alignment vertical="center" justifyLastLine="1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38" fontId="27" fillId="0" borderId="0" xfId="1" applyFont="1" applyFill="1" applyBorder="1" applyAlignment="1">
      <alignment horizontal="center" vertical="center"/>
    </xf>
    <xf numFmtId="38" fontId="27" fillId="0" borderId="0" xfId="1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/>
    <xf numFmtId="2" fontId="27" fillId="0" borderId="0" xfId="0" applyNumberFormat="1" applyFont="1" applyFill="1" applyBorder="1"/>
    <xf numFmtId="2" fontId="27" fillId="0" borderId="0" xfId="1" applyNumberFormat="1" applyFont="1" applyFill="1" applyBorder="1" applyAlignment="1">
      <alignment vertical="center"/>
    </xf>
    <xf numFmtId="40" fontId="27" fillId="0" borderId="0" xfId="1" applyNumberFormat="1" applyFont="1" applyFill="1" applyBorder="1" applyAlignment="1">
      <alignment vertical="center"/>
    </xf>
    <xf numFmtId="38" fontId="27" fillId="0" borderId="0" xfId="1" applyFont="1" applyFill="1" applyBorder="1" applyAlignment="1">
      <alignment vertical="center"/>
    </xf>
    <xf numFmtId="0" fontId="27" fillId="0" borderId="0" xfId="0" applyNumberFormat="1" applyFont="1" applyFill="1" applyBorder="1"/>
    <xf numFmtId="38" fontId="25" fillId="2" borderId="0" xfId="1" applyFont="1" applyFill="1" applyBorder="1" applyAlignment="1" applyProtection="1">
      <alignment vertical="center"/>
    </xf>
    <xf numFmtId="38" fontId="25" fillId="2" borderId="46" xfId="1" applyFont="1" applyFill="1" applyBorder="1" applyAlignment="1" applyProtection="1">
      <alignment vertical="center"/>
    </xf>
    <xf numFmtId="38" fontId="15" fillId="7" borderId="9" xfId="1" applyFont="1" applyFill="1" applyBorder="1" applyAlignment="1" applyProtection="1">
      <alignment horizontal="center" vertical="center"/>
    </xf>
    <xf numFmtId="38" fontId="15" fillId="7" borderId="29" xfId="1" applyFont="1" applyFill="1" applyBorder="1" applyAlignment="1" applyProtection="1">
      <alignment horizontal="center" vertical="center"/>
    </xf>
    <xf numFmtId="38" fontId="15" fillId="7" borderId="27" xfId="1" applyFont="1" applyFill="1" applyBorder="1" applyAlignment="1" applyProtection="1">
      <alignment horizontal="center" vertical="center"/>
    </xf>
    <xf numFmtId="38" fontId="15" fillId="7" borderId="9" xfId="1" applyFont="1" applyFill="1" applyBorder="1" applyAlignment="1" applyProtection="1">
      <alignment horizontal="center" vertical="center" shrinkToFit="1"/>
    </xf>
    <xf numFmtId="38" fontId="15" fillId="7" borderId="27" xfId="1" applyFont="1" applyFill="1" applyBorder="1" applyAlignment="1" applyProtection="1">
      <alignment horizontal="center" vertical="center" shrinkToFit="1"/>
    </xf>
    <xf numFmtId="38" fontId="15" fillId="0" borderId="70" xfId="1" applyFont="1" applyFill="1" applyBorder="1" applyAlignment="1" applyProtection="1">
      <alignment horizontal="center" vertical="center"/>
      <protection locked="0"/>
    </xf>
    <xf numFmtId="38" fontId="15" fillId="0" borderId="71" xfId="1" applyFont="1" applyFill="1" applyBorder="1" applyAlignment="1" applyProtection="1">
      <alignment horizontal="center" vertical="center"/>
      <protection locked="0"/>
    </xf>
    <xf numFmtId="38" fontId="15" fillId="0" borderId="72" xfId="1" applyFont="1" applyFill="1" applyBorder="1" applyAlignment="1" applyProtection="1">
      <alignment horizontal="center" vertical="center"/>
      <protection locked="0"/>
    </xf>
    <xf numFmtId="38" fontId="17" fillId="2" borderId="46" xfId="1" applyFont="1" applyFill="1" applyBorder="1" applyAlignment="1" applyProtection="1">
      <alignment horizontal="right" vertical="center" shrinkToFit="1"/>
    </xf>
    <xf numFmtId="38" fontId="15" fillId="3" borderId="9" xfId="1" applyFont="1" applyFill="1" applyBorder="1" applyAlignment="1" applyProtection="1">
      <alignment horizontal="center" vertical="center" shrinkToFit="1"/>
    </xf>
    <xf numFmtId="38" fontId="15" fillId="3" borderId="27" xfId="1" applyFont="1" applyFill="1" applyBorder="1" applyAlignment="1" applyProtection="1">
      <alignment horizontal="center" vertical="center" shrinkToFit="1"/>
    </xf>
    <xf numFmtId="38" fontId="15" fillId="2" borderId="33" xfId="1" applyFont="1" applyFill="1" applyBorder="1" applyAlignment="1" applyProtection="1">
      <alignment horizontal="center" vertical="center"/>
    </xf>
    <xf numFmtId="38" fontId="15" fillId="2" borderId="9" xfId="1" applyFont="1" applyFill="1" applyBorder="1" applyAlignment="1" applyProtection="1">
      <alignment horizontal="center" vertical="center"/>
    </xf>
    <xf numFmtId="38" fontId="15" fillId="2" borderId="33" xfId="1" applyFont="1" applyFill="1" applyBorder="1" applyAlignment="1" applyProtection="1">
      <alignment horizontal="center" vertical="center" shrinkToFit="1"/>
    </xf>
    <xf numFmtId="38" fontId="15" fillId="2" borderId="57" xfId="1" applyFont="1" applyFill="1" applyBorder="1" applyAlignment="1" applyProtection="1">
      <alignment horizontal="center" vertical="center" shrinkToFit="1"/>
    </xf>
    <xf numFmtId="38" fontId="15" fillId="2" borderId="67" xfId="1" applyFont="1" applyFill="1" applyBorder="1" applyAlignment="1" applyProtection="1">
      <alignment horizontal="center" vertical="center"/>
    </xf>
    <xf numFmtId="38" fontId="15" fillId="2" borderId="69" xfId="1" applyFont="1" applyFill="1" applyBorder="1" applyAlignment="1" applyProtection="1">
      <alignment horizontal="center" vertical="center"/>
    </xf>
    <xf numFmtId="38" fontId="15" fillId="7" borderId="53" xfId="1" applyFont="1" applyFill="1" applyBorder="1" applyAlignment="1" applyProtection="1">
      <alignment horizontal="center" vertical="center" wrapText="1"/>
    </xf>
    <xf numFmtId="38" fontId="15" fillId="2" borderId="9" xfId="1" applyFont="1" applyFill="1" applyBorder="1" applyAlignment="1" applyProtection="1">
      <alignment horizontal="center" vertical="center" shrinkToFit="1"/>
    </xf>
    <xf numFmtId="38" fontId="15" fillId="2" borderId="27" xfId="1" applyFont="1" applyFill="1" applyBorder="1" applyAlignment="1" applyProtection="1">
      <alignment horizontal="center" vertical="center" shrinkToFit="1"/>
    </xf>
    <xf numFmtId="38" fontId="15" fillId="2" borderId="13" xfId="1" applyFont="1" applyFill="1" applyBorder="1" applyAlignment="1" applyProtection="1">
      <alignment horizontal="center" vertical="center" shrinkToFit="1"/>
    </xf>
    <xf numFmtId="38" fontId="15" fillId="2" borderId="56" xfId="1" applyFont="1" applyFill="1" applyBorder="1" applyAlignment="1" applyProtection="1">
      <alignment horizontal="center" vertical="center" shrinkToFit="1"/>
    </xf>
    <xf numFmtId="38" fontId="15" fillId="2" borderId="48" xfId="1" applyFont="1" applyFill="1" applyBorder="1" applyAlignment="1" applyProtection="1">
      <alignment horizontal="center" vertical="center"/>
    </xf>
    <xf numFmtId="38" fontId="15" fillId="2" borderId="49" xfId="1" applyFont="1" applyFill="1" applyBorder="1" applyAlignment="1" applyProtection="1">
      <alignment horizontal="center" vertical="center"/>
    </xf>
    <xf numFmtId="38" fontId="15" fillId="2" borderId="53" xfId="1" applyFont="1" applyFill="1" applyBorder="1" applyAlignment="1" applyProtection="1">
      <alignment horizontal="center" vertical="center"/>
    </xf>
    <xf numFmtId="38" fontId="15" fillId="2" borderId="24" xfId="1" applyFont="1" applyFill="1" applyBorder="1" applyAlignment="1" applyProtection="1">
      <alignment horizontal="center" vertical="center"/>
    </xf>
    <xf numFmtId="38" fontId="15" fillId="2" borderId="54" xfId="1" applyFont="1" applyFill="1" applyBorder="1" applyAlignment="1" applyProtection="1">
      <alignment horizontal="center" vertical="center"/>
    </xf>
    <xf numFmtId="38" fontId="15" fillId="2" borderId="55" xfId="1" applyFont="1" applyFill="1" applyBorder="1" applyAlignment="1" applyProtection="1">
      <alignment horizontal="center" vertical="center"/>
    </xf>
    <xf numFmtId="49" fontId="15" fillId="0" borderId="45" xfId="1" applyNumberFormat="1" applyFont="1" applyFill="1" applyBorder="1" applyAlignment="1" applyProtection="1">
      <alignment vertical="center"/>
      <protection locked="0"/>
    </xf>
    <xf numFmtId="49" fontId="15" fillId="0" borderId="50" xfId="1" applyNumberFormat="1" applyFont="1" applyFill="1" applyBorder="1" applyAlignment="1" applyProtection="1">
      <alignment vertical="center"/>
      <protection locked="0"/>
    </xf>
    <xf numFmtId="49" fontId="15" fillId="0" borderId="0" xfId="1" applyNumberFormat="1" applyFont="1" applyFill="1" applyBorder="1" applyAlignment="1" applyProtection="1">
      <alignment vertical="center"/>
      <protection locked="0"/>
    </xf>
    <xf numFmtId="49" fontId="15" fillId="0" borderId="51" xfId="1" applyNumberFormat="1" applyFont="1" applyFill="1" applyBorder="1" applyAlignment="1" applyProtection="1">
      <alignment vertical="center"/>
      <protection locked="0"/>
    </xf>
    <xf numFmtId="49" fontId="15" fillId="0" borderId="46" xfId="1" applyNumberFormat="1" applyFont="1" applyFill="1" applyBorder="1" applyAlignment="1" applyProtection="1">
      <alignment vertical="center"/>
      <protection locked="0"/>
    </xf>
    <xf numFmtId="49" fontId="15" fillId="0" borderId="52" xfId="1" applyNumberFormat="1" applyFont="1" applyFill="1" applyBorder="1" applyAlignment="1" applyProtection="1">
      <alignment vertical="center"/>
      <protection locked="0"/>
    </xf>
    <xf numFmtId="38" fontId="15" fillId="2" borderId="1" xfId="1" applyFont="1" applyFill="1" applyBorder="1" applyAlignment="1" applyProtection="1">
      <alignment horizontal="center" vertical="center"/>
    </xf>
    <xf numFmtId="38" fontId="15" fillId="2" borderId="57" xfId="1" applyFont="1" applyFill="1" applyBorder="1" applyAlignment="1" applyProtection="1">
      <alignment horizontal="center" vertical="center"/>
    </xf>
    <xf numFmtId="38" fontId="15" fillId="2" borderId="5" xfId="1" applyFont="1" applyFill="1" applyBorder="1" applyAlignment="1" applyProtection="1">
      <alignment horizontal="center" vertical="center"/>
    </xf>
    <xf numFmtId="38" fontId="15" fillId="2" borderId="27" xfId="1" applyFont="1" applyFill="1" applyBorder="1" applyAlignment="1" applyProtection="1">
      <alignment horizontal="center" vertical="center"/>
    </xf>
    <xf numFmtId="49" fontId="15" fillId="0" borderId="29" xfId="1" applyNumberFormat="1" applyFont="1" applyFill="1" applyBorder="1" applyAlignment="1" applyProtection="1">
      <alignment horizontal="left" vertical="center"/>
      <protection locked="0"/>
    </xf>
    <xf numFmtId="49" fontId="15" fillId="0" borderId="27" xfId="1" applyNumberFormat="1" applyFont="1" applyFill="1" applyBorder="1" applyAlignment="1" applyProtection="1">
      <alignment horizontal="left" vertical="center"/>
      <protection locked="0"/>
    </xf>
    <xf numFmtId="38" fontId="15" fillId="2" borderId="9" xfId="1" applyFont="1" applyFill="1" applyBorder="1" applyAlignment="1" applyProtection="1">
      <alignment vertical="center" shrinkToFit="1"/>
    </xf>
    <xf numFmtId="0" fontId="2" fillId="2" borderId="29" xfId="0" applyFont="1" applyFill="1" applyBorder="1" applyProtection="1"/>
    <xf numFmtId="0" fontId="2" fillId="2" borderId="27" xfId="0" applyFont="1" applyFill="1" applyBorder="1" applyProtection="1"/>
    <xf numFmtId="38" fontId="15" fillId="2" borderId="11" xfId="1" applyFont="1" applyFill="1" applyBorder="1" applyAlignment="1" applyProtection="1">
      <alignment horizontal="center" vertical="center"/>
    </xf>
    <xf numFmtId="38" fontId="15" fillId="2" borderId="56" xfId="1" applyFont="1" applyFill="1" applyBorder="1" applyAlignment="1" applyProtection="1">
      <alignment horizontal="center" vertical="center"/>
    </xf>
    <xf numFmtId="49" fontId="15" fillId="0" borderId="1" xfId="1" applyNumberFormat="1" applyFont="1" applyFill="1" applyBorder="1" applyAlignment="1" applyProtection="1">
      <alignment horizontal="center" vertical="center"/>
      <protection locked="0"/>
    </xf>
    <xf numFmtId="49" fontId="15" fillId="0" borderId="57" xfId="1" applyNumberFormat="1" applyFont="1" applyFill="1" applyBorder="1" applyAlignment="1" applyProtection="1">
      <alignment horizontal="center" vertical="center"/>
      <protection locked="0"/>
    </xf>
    <xf numFmtId="49" fontId="15" fillId="0" borderId="44" xfId="1" applyNumberFormat="1" applyFont="1" applyFill="1" applyBorder="1" applyAlignment="1" applyProtection="1">
      <alignment horizontal="left" vertical="center"/>
      <protection locked="0"/>
    </xf>
    <xf numFmtId="49" fontId="0" fillId="0" borderId="44" xfId="0" applyNumberFormat="1" applyBorder="1" applyProtection="1">
      <protection locked="0"/>
    </xf>
    <xf numFmtId="49" fontId="0" fillId="0" borderId="57" xfId="0" applyNumberFormat="1" applyBorder="1" applyProtection="1">
      <protection locked="0"/>
    </xf>
    <xf numFmtId="38" fontId="11" fillId="2" borderId="2" xfId="1" applyFont="1" applyFill="1" applyBorder="1" applyAlignment="1">
      <alignment horizontal="center" vertical="center"/>
    </xf>
    <xf numFmtId="38" fontId="11" fillId="2" borderId="22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4" xfId="0" applyFont="1" applyFill="1" applyBorder="1" applyAlignment="1">
      <alignment horizontal="center" vertical="center"/>
    </xf>
    <xf numFmtId="0" fontId="10" fillId="2" borderId="6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right" vertical="top" wrapText="1"/>
    </xf>
    <xf numFmtId="0" fontId="19" fillId="0" borderId="8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 wrapText="1"/>
    </xf>
    <xf numFmtId="38" fontId="18" fillId="0" borderId="8" xfId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0" xfId="0" applyFont="1" applyBorder="1" applyAlignment="1">
      <alignment vertical="center" wrapText="1"/>
    </xf>
    <xf numFmtId="0" fontId="18" fillId="0" borderId="23" xfId="0" applyFont="1" applyBorder="1" applyAlignment="1">
      <alignment vertical="center" wrapText="1"/>
    </xf>
    <xf numFmtId="0" fontId="18" fillId="0" borderId="25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justifyLastLine="1"/>
    </xf>
    <xf numFmtId="0" fontId="23" fillId="3" borderId="0" xfId="11" applyFont="1" applyFill="1" applyAlignment="1">
      <alignment horizontal="left" vertical="center"/>
    </xf>
    <xf numFmtId="0" fontId="15" fillId="0" borderId="20" xfId="5" applyFont="1" applyBorder="1" applyAlignment="1">
      <alignment horizontal="center" vertical="center" textRotation="255" wrapText="1"/>
    </xf>
    <xf numFmtId="0" fontId="15" fillId="0" borderId="23" xfId="5" applyFont="1" applyBorder="1" applyAlignment="1">
      <alignment horizontal="center" vertical="center" textRotation="255"/>
    </xf>
    <xf numFmtId="0" fontId="15" fillId="0" borderId="25" xfId="5" applyFont="1" applyBorder="1" applyAlignment="1">
      <alignment horizontal="center" vertical="center" textRotation="255"/>
    </xf>
    <xf numFmtId="0" fontId="15" fillId="0" borderId="8" xfId="5" applyFont="1" applyBorder="1" applyAlignment="1">
      <alignment horizontal="center" vertical="distributed" textRotation="255"/>
    </xf>
    <xf numFmtId="0" fontId="15" fillId="0" borderId="8" xfId="5" applyFont="1" applyBorder="1" applyAlignment="1">
      <alignment horizontal="center" vertical="center" textRotation="255"/>
    </xf>
    <xf numFmtId="0" fontId="15" fillId="0" borderId="20" xfId="5" applyFont="1" applyBorder="1" applyAlignment="1">
      <alignment horizontal="center" vertical="center" textRotation="255"/>
    </xf>
    <xf numFmtId="0" fontId="15" fillId="0" borderId="8" xfId="5" applyFont="1" applyBorder="1" applyAlignment="1">
      <alignment vertical="distributed" textRotation="255"/>
    </xf>
    <xf numFmtId="0" fontId="15" fillId="0" borderId="8" xfId="5" applyFont="1" applyBorder="1" applyAlignment="1">
      <alignment horizontal="center" vertical="distributed" textRotation="255" wrapText="1"/>
    </xf>
    <xf numFmtId="0" fontId="15" fillId="0" borderId="8" xfId="5" applyFont="1" applyBorder="1" applyAlignment="1">
      <alignment horizontal="distributed" vertical="center" justifyLastLine="1"/>
    </xf>
    <xf numFmtId="0" fontId="15" fillId="0" borderId="8" xfId="5" applyFont="1" applyBorder="1" applyAlignment="1">
      <alignment horizontal="center" vertical="distributed" textRotation="255" justifyLastLine="1"/>
    </xf>
    <xf numFmtId="0" fontId="15" fillId="0" borderId="8" xfId="5" applyFont="1" applyBorder="1" applyAlignment="1">
      <alignment horizontal="distributed" vertical="center" wrapText="1" justifyLastLine="1"/>
    </xf>
    <xf numFmtId="0" fontId="15" fillId="0" borderId="0" xfId="5" applyFont="1" applyAlignment="1">
      <alignment horizontal="left" vertical="center"/>
    </xf>
    <xf numFmtId="0" fontId="15" fillId="0" borderId="0" xfId="5" applyFont="1" applyAlignment="1">
      <alignment horizontal="center" vertical="center"/>
    </xf>
    <xf numFmtId="0" fontId="1" fillId="0" borderId="8" xfId="14" applyBorder="1" applyAlignment="1">
      <alignment horizontal="center" vertical="center"/>
    </xf>
  </cellXfs>
  <cellStyles count="15">
    <cellStyle name="桁区切り" xfId="1" builtinId="6"/>
    <cellStyle name="桁区切り 2" xfId="2"/>
    <cellStyle name="桁区切り 2 2" xfId="3"/>
    <cellStyle name="桁区切り 4" xfId="4"/>
    <cellStyle name="標準" xfId="0" builtinId="0"/>
    <cellStyle name="標準 2" xfId="5"/>
    <cellStyle name="標準 2 2" xfId="6"/>
    <cellStyle name="標準 2 3" xfId="7"/>
    <cellStyle name="標準 2 4" xfId="8"/>
    <cellStyle name="標準 2 5" xfId="9"/>
    <cellStyle name="標準 2 6" xfId="10"/>
    <cellStyle name="標準 3" xfId="11"/>
    <cellStyle name="標準 4" xfId="14"/>
    <cellStyle name="標準 5" xfId="12"/>
    <cellStyle name="標準 8" xfId="13"/>
  </cellStyles>
  <dxfs count="9"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b/>
        <i/>
        <color rgb="FFFF0000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b/>
        <i/>
        <color rgb="FFFF0000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b/>
        <i/>
        <color rgb="FFFF0000"/>
      </font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FFFF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2</xdr:row>
      <xdr:rowOff>38100</xdr:rowOff>
    </xdr:from>
    <xdr:to>
      <xdr:col>1</xdr:col>
      <xdr:colOff>742950</xdr:colOff>
      <xdr:row>6</xdr:row>
      <xdr:rowOff>200025</xdr:rowOff>
    </xdr:to>
    <xdr:sp macro="" textlink="">
      <xdr:nvSpPr>
        <xdr:cNvPr id="2281" name="Line 1"/>
        <xdr:cNvSpPr>
          <a:spLocks noChangeShapeType="1"/>
        </xdr:cNvSpPr>
      </xdr:nvSpPr>
      <xdr:spPr bwMode="auto">
        <a:xfrm>
          <a:off x="219075" y="514350"/>
          <a:ext cx="762000" cy="1114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219075</xdr:colOff>
      <xdr:row>16</xdr:row>
      <xdr:rowOff>190500</xdr:rowOff>
    </xdr:from>
    <xdr:to>
      <xdr:col>1</xdr:col>
      <xdr:colOff>742950</xdr:colOff>
      <xdr:row>21</xdr:row>
      <xdr:rowOff>28575</xdr:rowOff>
    </xdr:to>
    <xdr:sp macro="" textlink="">
      <xdr:nvSpPr>
        <xdr:cNvPr id="2282" name="Line 1"/>
        <xdr:cNvSpPr>
          <a:spLocks noChangeShapeType="1"/>
        </xdr:cNvSpPr>
      </xdr:nvSpPr>
      <xdr:spPr bwMode="auto">
        <a:xfrm>
          <a:off x="219075" y="4229100"/>
          <a:ext cx="762000" cy="1152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X59"/>
  <sheetViews>
    <sheetView showGridLines="0" showRowColHeaders="0" showZeros="0" tabSelected="1" zoomScale="80" zoomScaleNormal="80" workbookViewId="0">
      <pane ySplit="5" topLeftCell="A6" activePane="bottomLeft" state="frozen"/>
      <selection pane="bottomLeft" activeCell="F25" sqref="F25"/>
    </sheetView>
  </sheetViews>
  <sheetFormatPr defaultColWidth="8.875" defaultRowHeight="13.5" x14ac:dyDescent="0.15"/>
  <cols>
    <col min="1" max="1" width="2.125" style="189" customWidth="1"/>
    <col min="2" max="2" width="3.75" style="189" bestFit="1" customWidth="1"/>
    <col min="3" max="3" width="13.625" style="189" bestFit="1" customWidth="1"/>
    <col min="4" max="4" width="8.875" style="189"/>
    <col min="5" max="5" width="2.25" style="189" customWidth="1"/>
    <col min="6" max="6" width="4.125" style="189" customWidth="1"/>
    <col min="7" max="7" width="14.25" style="189" customWidth="1"/>
    <col min="8" max="8" width="6" style="189" customWidth="1"/>
    <col min="9" max="9" width="4.5" style="189" customWidth="1"/>
    <col min="10" max="11" width="5.625" style="189" customWidth="1"/>
    <col min="12" max="12" width="8.25" style="189" customWidth="1"/>
    <col min="13" max="13" width="4.125" style="189" customWidth="1"/>
    <col min="14" max="14" width="7.25" style="189" customWidth="1"/>
    <col min="15" max="15" width="3.625" style="189" customWidth="1"/>
    <col min="16" max="16" width="14.25" style="189" customWidth="1"/>
    <col min="17" max="17" width="6" style="189" customWidth="1"/>
    <col min="18" max="18" width="4.5" style="189" customWidth="1"/>
    <col min="19" max="20" width="5.625" style="189" customWidth="1"/>
    <col min="21" max="22" width="9.375" style="189" customWidth="1"/>
    <col min="23" max="24" width="7.25" style="189" customWidth="1"/>
    <col min="25" max="25" width="9.375" style="189" bestFit="1" customWidth="1"/>
    <col min="26" max="26" width="9.75" style="189" bestFit="1" customWidth="1"/>
    <col min="27" max="27" width="6.625" style="189" customWidth="1"/>
    <col min="28" max="30" width="6.625" style="189" hidden="1" customWidth="1"/>
    <col min="31" max="31" width="6.625" style="189" customWidth="1"/>
    <col min="32" max="33" width="7.125" style="189" customWidth="1"/>
    <col min="34" max="34" width="9.5" style="189" customWidth="1"/>
    <col min="35" max="36" width="7.5" style="189" hidden="1" customWidth="1"/>
    <col min="37" max="37" width="21.625" style="189" hidden="1" customWidth="1"/>
    <col min="38" max="38" width="6.75" style="189" hidden="1" customWidth="1"/>
    <col min="39" max="46" width="7.125" style="189" hidden="1" customWidth="1"/>
    <col min="47" max="60" width="6.625" style="189" customWidth="1"/>
    <col min="61" max="16384" width="8.875" style="189"/>
  </cols>
  <sheetData>
    <row r="1" spans="1:47" x14ac:dyDescent="0.15">
      <c r="A1" s="187"/>
      <c r="B1" s="286" t="str">
        <f>水理計算書!B1</f>
        <v>手締め太郎 V2.03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8" t="s">
        <v>437</v>
      </c>
      <c r="AA1" s="187"/>
      <c r="AB1" s="187" t="s">
        <v>580</v>
      </c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</row>
    <row r="2" spans="1:47" ht="14.25" customHeight="1" thickBot="1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343" t="s">
        <v>624</v>
      </c>
      <c r="Q2" s="343"/>
      <c r="R2" s="343"/>
      <c r="S2" s="343"/>
      <c r="T2" s="343"/>
      <c r="U2" s="343"/>
      <c r="V2" s="343"/>
      <c r="W2" s="343"/>
      <c r="X2" s="316"/>
      <c r="Y2" s="316"/>
      <c r="Z2" s="316"/>
      <c r="AA2" s="187"/>
      <c r="AB2" s="187"/>
      <c r="AC2" s="187"/>
      <c r="AD2" s="187"/>
      <c r="AE2" s="345" t="s">
        <v>436</v>
      </c>
      <c r="AF2" s="346"/>
      <c r="AG2" s="347"/>
      <c r="AH2" s="187"/>
      <c r="AI2" s="187"/>
      <c r="AJ2" s="187"/>
      <c r="AK2" s="187"/>
      <c r="AL2" s="187"/>
      <c r="AM2" s="187"/>
      <c r="AN2" s="190"/>
      <c r="AO2" s="190"/>
      <c r="AP2" s="190"/>
      <c r="AQ2" s="187"/>
      <c r="AR2" s="187"/>
      <c r="AS2" s="348" t="s">
        <v>436</v>
      </c>
      <c r="AT2" s="349"/>
      <c r="AU2" s="187"/>
    </row>
    <row r="3" spans="1:47" ht="14.25" customHeight="1" thickBot="1" x14ac:dyDescent="0.2">
      <c r="A3" s="187"/>
      <c r="B3" s="350" t="s">
        <v>625</v>
      </c>
      <c r="C3" s="351"/>
      <c r="D3" s="352"/>
      <c r="E3" s="187"/>
      <c r="F3" s="187"/>
      <c r="G3" s="187"/>
      <c r="H3" s="187"/>
      <c r="I3" s="187"/>
      <c r="J3" s="187"/>
      <c r="K3" s="187"/>
      <c r="L3" s="187"/>
      <c r="M3" s="187"/>
      <c r="N3" s="253" t="s">
        <v>572</v>
      </c>
      <c r="O3" s="187"/>
      <c r="P3" s="344"/>
      <c r="Q3" s="344"/>
      <c r="R3" s="344"/>
      <c r="S3" s="344"/>
      <c r="T3" s="344"/>
      <c r="U3" s="344"/>
      <c r="V3" s="344"/>
      <c r="W3" s="344"/>
      <c r="X3" s="353" t="str">
        <f>B3</f>
        <v>水理計算例―３</v>
      </c>
      <c r="Y3" s="353"/>
      <c r="Z3" s="353"/>
      <c r="AA3" s="187"/>
      <c r="AB3" s="192"/>
      <c r="AC3" s="192"/>
      <c r="AD3" s="192"/>
      <c r="AE3" s="193" t="s">
        <v>99</v>
      </c>
      <c r="AF3" s="317" t="s">
        <v>44</v>
      </c>
      <c r="AG3" s="195" t="s">
        <v>44</v>
      </c>
      <c r="AH3" s="193"/>
      <c r="AI3" s="193"/>
      <c r="AJ3" s="193"/>
      <c r="AK3" s="196"/>
      <c r="AL3" s="193" t="s">
        <v>99</v>
      </c>
      <c r="AM3" s="317" t="s">
        <v>44</v>
      </c>
      <c r="AN3" s="195" t="s">
        <v>44</v>
      </c>
      <c r="AO3" s="354" t="s">
        <v>579</v>
      </c>
      <c r="AP3" s="355"/>
      <c r="AQ3" s="354" t="s">
        <v>434</v>
      </c>
      <c r="AR3" s="355"/>
      <c r="AS3" s="354" t="s">
        <v>434</v>
      </c>
      <c r="AT3" s="355"/>
      <c r="AU3" s="187"/>
    </row>
    <row r="4" spans="1:47" ht="14.25" customHeight="1" thickBot="1" x14ac:dyDescent="0.2">
      <c r="A4" s="187"/>
      <c r="B4" s="187"/>
      <c r="C4" s="187"/>
      <c r="D4" s="187"/>
      <c r="E4" s="187"/>
      <c r="F4" s="287" t="s">
        <v>617</v>
      </c>
      <c r="G4" s="356" t="s">
        <v>37</v>
      </c>
      <c r="H4" s="358" t="s">
        <v>0</v>
      </c>
      <c r="I4" s="359"/>
      <c r="J4" s="248" t="s">
        <v>16</v>
      </c>
      <c r="K4" s="248" t="s">
        <v>2</v>
      </c>
      <c r="L4" s="248" t="s">
        <v>18</v>
      </c>
      <c r="M4" s="248" t="s">
        <v>38</v>
      </c>
      <c r="N4" s="249" t="s">
        <v>1</v>
      </c>
      <c r="O4" s="187"/>
      <c r="P4" s="360" t="s">
        <v>37</v>
      </c>
      <c r="Q4" s="358" t="s">
        <v>0</v>
      </c>
      <c r="R4" s="359"/>
      <c r="S4" s="248" t="s">
        <v>16</v>
      </c>
      <c r="T4" s="248" t="s">
        <v>2</v>
      </c>
      <c r="U4" s="248" t="s">
        <v>17</v>
      </c>
      <c r="V4" s="248" t="s">
        <v>18</v>
      </c>
      <c r="W4" s="248" t="s">
        <v>1</v>
      </c>
      <c r="X4" s="248" t="s">
        <v>38</v>
      </c>
      <c r="Y4" s="248" t="s">
        <v>19</v>
      </c>
      <c r="Z4" s="254" t="s">
        <v>3</v>
      </c>
      <c r="AA4" s="362" t="s">
        <v>49</v>
      </c>
      <c r="AB4" s="191" t="s">
        <v>38</v>
      </c>
      <c r="AC4" s="191" t="s">
        <v>38</v>
      </c>
      <c r="AD4" s="191" t="s">
        <v>38</v>
      </c>
      <c r="AE4" s="197" t="s">
        <v>100</v>
      </c>
      <c r="AF4" s="193" t="s">
        <v>131</v>
      </c>
      <c r="AG4" s="193" t="s">
        <v>132</v>
      </c>
      <c r="AH4" s="197" t="s">
        <v>43</v>
      </c>
      <c r="AI4" s="197" t="s">
        <v>435</v>
      </c>
      <c r="AJ4" s="197" t="s">
        <v>435</v>
      </c>
      <c r="AK4" s="198" t="s">
        <v>41</v>
      </c>
      <c r="AL4" s="197" t="s">
        <v>100</v>
      </c>
      <c r="AM4" s="193" t="s">
        <v>131</v>
      </c>
      <c r="AN4" s="193" t="s">
        <v>132</v>
      </c>
      <c r="AO4" s="193" t="s">
        <v>576</v>
      </c>
      <c r="AP4" s="193" t="s">
        <v>576</v>
      </c>
      <c r="AQ4" s="193" t="s">
        <v>432</v>
      </c>
      <c r="AR4" s="193" t="s">
        <v>433</v>
      </c>
      <c r="AS4" s="193" t="s">
        <v>432</v>
      </c>
      <c r="AT4" s="193" t="s">
        <v>433</v>
      </c>
      <c r="AU4" s="187"/>
    </row>
    <row r="5" spans="1:47" ht="14.25" customHeight="1" thickBot="1" x14ac:dyDescent="0.2">
      <c r="A5" s="187"/>
      <c r="B5" s="220" t="s">
        <v>615</v>
      </c>
      <c r="C5" s="221" t="s">
        <v>39</v>
      </c>
      <c r="D5" s="222" t="s">
        <v>81</v>
      </c>
      <c r="E5" s="187"/>
      <c r="F5" s="288" t="s">
        <v>616</v>
      </c>
      <c r="G5" s="357"/>
      <c r="H5" s="363" t="s">
        <v>22</v>
      </c>
      <c r="I5" s="364"/>
      <c r="J5" s="251" t="s">
        <v>20</v>
      </c>
      <c r="K5" s="251" t="s">
        <v>4</v>
      </c>
      <c r="L5" s="251" t="s">
        <v>622</v>
      </c>
      <c r="M5" s="250" t="s">
        <v>4</v>
      </c>
      <c r="N5" s="252" t="s">
        <v>620</v>
      </c>
      <c r="O5" s="187"/>
      <c r="P5" s="361"/>
      <c r="Q5" s="365" t="s">
        <v>22</v>
      </c>
      <c r="R5" s="366"/>
      <c r="S5" s="312" t="s">
        <v>20</v>
      </c>
      <c r="T5" s="312" t="s">
        <v>4</v>
      </c>
      <c r="U5" s="312" t="s">
        <v>4</v>
      </c>
      <c r="V5" s="312" t="s">
        <v>621</v>
      </c>
      <c r="W5" s="312" t="s">
        <v>620</v>
      </c>
      <c r="X5" s="312" t="s">
        <v>439</v>
      </c>
      <c r="Y5" s="312" t="s">
        <v>36</v>
      </c>
      <c r="Z5" s="313" t="s">
        <v>439</v>
      </c>
      <c r="AA5" s="362"/>
      <c r="AB5" s="165" t="s">
        <v>439</v>
      </c>
      <c r="AC5" s="165" t="s">
        <v>439</v>
      </c>
      <c r="AD5" s="165" t="s">
        <v>439</v>
      </c>
      <c r="AE5" s="200" t="s">
        <v>440</v>
      </c>
      <c r="AF5" s="200" t="s">
        <v>45</v>
      </c>
      <c r="AG5" s="200" t="s">
        <v>45</v>
      </c>
      <c r="AH5" s="200" t="s">
        <v>438</v>
      </c>
      <c r="AI5" s="200" t="s">
        <v>42</v>
      </c>
      <c r="AJ5" s="200" t="s">
        <v>442</v>
      </c>
      <c r="AK5" s="201" t="s">
        <v>443</v>
      </c>
      <c r="AL5" s="200" t="s">
        <v>440</v>
      </c>
      <c r="AM5" s="197" t="s">
        <v>45</v>
      </c>
      <c r="AN5" s="197" t="s">
        <v>45</v>
      </c>
      <c r="AO5" s="197" t="s">
        <v>577</v>
      </c>
      <c r="AP5" s="197" t="s">
        <v>578</v>
      </c>
      <c r="AQ5" s="200" t="s">
        <v>444</v>
      </c>
      <c r="AR5" s="200" t="s">
        <v>444</v>
      </c>
      <c r="AS5" s="200" t="s">
        <v>444</v>
      </c>
      <c r="AT5" s="200" t="s">
        <v>444</v>
      </c>
      <c r="AU5" s="187"/>
    </row>
    <row r="6" spans="1:47" ht="14.25" customHeight="1" x14ac:dyDescent="0.15">
      <c r="A6" s="187"/>
      <c r="B6" s="223">
        <v>2</v>
      </c>
      <c r="C6" s="281" t="s">
        <v>21</v>
      </c>
      <c r="D6" s="224"/>
      <c r="E6" s="187"/>
      <c r="F6" s="289">
        <v>2</v>
      </c>
      <c r="G6" s="298" t="str">
        <f t="shared" ref="G6:G45" si="0">IF(F6=0,0,VLOOKUP(F6,器具等コード,2,FALSE))</f>
        <v>分岐</v>
      </c>
      <c r="H6" s="167">
        <v>75</v>
      </c>
      <c r="I6" s="166">
        <v>40</v>
      </c>
      <c r="J6" s="39">
        <v>5</v>
      </c>
      <c r="K6" s="37"/>
      <c r="L6" s="37"/>
      <c r="M6" s="183">
        <v>1</v>
      </c>
      <c r="N6" s="292"/>
      <c r="O6" s="187">
        <v>1</v>
      </c>
      <c r="P6" s="304" t="str">
        <f>G6</f>
        <v>分岐</v>
      </c>
      <c r="Q6" s="305">
        <f>H6</f>
        <v>75</v>
      </c>
      <c r="R6" s="306">
        <f>I6</f>
        <v>40</v>
      </c>
      <c r="S6" s="307">
        <f>J6</f>
        <v>5</v>
      </c>
      <c r="T6" s="308">
        <f>K6</f>
        <v>0</v>
      </c>
      <c r="U6" s="307" t="str">
        <f>IF(J6=0,IF(K6=0,0,VLOOKUP(K6,同時開栓数,3)),"")</f>
        <v/>
      </c>
      <c r="V6" s="309">
        <f t="shared" ref="V6:V45" si="1">ROUND(L6/60,2)</f>
        <v>0</v>
      </c>
      <c r="W6" s="310">
        <f t="shared" ref="W6:W45" si="2">IF(N6=0,IF(J6=0,IF(U6=0,0,L6*U6/60),IF(J6&gt;10,AT6,AS6)),N6)</f>
        <v>1.2</v>
      </c>
      <c r="X6" s="310" t="str">
        <f t="shared" ref="X6:X45" si="3">IF(M6=1,AC6,AC6&amp;"*"&amp;M6)</f>
        <v>1.00</v>
      </c>
      <c r="Y6" s="311">
        <f>IF(AP6&gt;50,AG6,AF6)</f>
        <v>30</v>
      </c>
      <c r="Z6" s="275">
        <f t="shared" ref="Z6:Z45" si="4">ROUND(AD6*Y6/1000,2)</f>
        <v>0.03</v>
      </c>
      <c r="AA6" s="187" t="str">
        <f t="shared" ref="AA6:AA45" si="5">IF(AE6&lt;2.1,"ok","out")</f>
        <v>ok</v>
      </c>
      <c r="AB6" s="38">
        <f t="shared" ref="AB6:AB45" si="6">IF(F6=0,0,VLOOKUP(AO6,管延長,F6))</f>
        <v>1</v>
      </c>
      <c r="AC6" s="38" t="str">
        <f>IF(AB6=0,0,TEXT(AB6,"0.00"))</f>
        <v>1.00</v>
      </c>
      <c r="AD6" s="38">
        <f t="shared" ref="AD6:AD45" si="7">AB6*M6</f>
        <v>1</v>
      </c>
      <c r="AE6" s="202">
        <f t="shared" ref="AE6:AE45" si="8">ROUND(AL6,1)</f>
        <v>1</v>
      </c>
      <c r="AF6" s="203">
        <f t="shared" ref="AF6:AG21" si="9">IF(AM6&lt;11,ROUND(AM6,1),ROUND(AM6,0))</f>
        <v>30</v>
      </c>
      <c r="AG6" s="203">
        <f t="shared" si="9"/>
        <v>45</v>
      </c>
      <c r="AH6" s="204">
        <v>110</v>
      </c>
      <c r="AI6" s="205">
        <f>W6/1000</f>
        <v>1.1999999999999999E-3</v>
      </c>
      <c r="AJ6" s="206">
        <f t="shared" ref="AJ6:AJ45" si="10">W6*60</f>
        <v>72</v>
      </c>
      <c r="AK6" s="207">
        <f t="shared" ref="AK6:AK45" si="11">PI()*(I6/1000)^2/4</f>
        <v>1.2566370614359172E-3</v>
      </c>
      <c r="AL6" s="205">
        <f>IF(AI6=0,0,AI6/AK6)</f>
        <v>0.95492965855137202</v>
      </c>
      <c r="AM6" s="202">
        <f t="shared" ref="AM6:AM45" si="12">IF(I6=0,0,(0.0126+(0.01739-0.1087*I6/1000)/POWER(AL6,1/2))/I6*1000000*POWER(AL6,2)/2/9.8)</f>
        <v>30.178726795762742</v>
      </c>
      <c r="AN6" s="208">
        <f t="shared" ref="AN6:AN45" si="13">IF(I6=0,0,(10.666*AH6^-1.85*(I6/1000)^-4.87*AI6^1.85)*1000)</f>
        <v>45.277064212861731</v>
      </c>
      <c r="AO6" s="203">
        <f t="shared" ref="AO6:AO45" si="14">MAX(H6:I6)</f>
        <v>75</v>
      </c>
      <c r="AP6" s="203">
        <f t="shared" ref="AP6:AP45" si="15">MIN(H6:I6)</f>
        <v>40</v>
      </c>
      <c r="AQ6" s="208">
        <f t="shared" ref="AQ6:AQ45" si="16">ROUND(42*J6^0.33/60,2)</f>
        <v>1.19</v>
      </c>
      <c r="AR6" s="208">
        <f t="shared" ref="AR6:AR45" si="17">ROUND(19*J6^0.67/60,2)</f>
        <v>0.93</v>
      </c>
      <c r="AS6" s="208">
        <f>ROUND(AQ6,1)</f>
        <v>1.2</v>
      </c>
      <c r="AT6" s="208">
        <f>ROUND(AR6,1)</f>
        <v>0.9</v>
      </c>
      <c r="AU6" s="187"/>
    </row>
    <row r="7" spans="1:47" ht="14.25" customHeight="1" x14ac:dyDescent="0.15">
      <c r="A7" s="187"/>
      <c r="B7" s="223">
        <v>3</v>
      </c>
      <c r="C7" s="281" t="s">
        <v>31</v>
      </c>
      <c r="D7" s="225"/>
      <c r="E7" s="187"/>
      <c r="F7" s="289">
        <v>2</v>
      </c>
      <c r="G7" s="298" t="str">
        <f t="shared" si="0"/>
        <v>分岐</v>
      </c>
      <c r="H7" s="167">
        <v>0</v>
      </c>
      <c r="I7" s="166">
        <v>40</v>
      </c>
      <c r="J7" s="39">
        <v>5</v>
      </c>
      <c r="K7" s="37"/>
      <c r="L7" s="37"/>
      <c r="M7" s="183">
        <v>1</v>
      </c>
      <c r="N7" s="292"/>
      <c r="O7" s="187">
        <v>2</v>
      </c>
      <c r="P7" s="303" t="str">
        <f t="shared" ref="P7:T45" si="18">G7</f>
        <v>分岐</v>
      </c>
      <c r="Q7" s="300">
        <f t="shared" si="18"/>
        <v>0</v>
      </c>
      <c r="R7" s="301">
        <f t="shared" si="18"/>
        <v>40</v>
      </c>
      <c r="S7" s="199">
        <f t="shared" si="18"/>
        <v>5</v>
      </c>
      <c r="T7" s="302">
        <f t="shared" si="18"/>
        <v>0</v>
      </c>
      <c r="U7" s="199">
        <f t="shared" ref="U7:U45" si="19">IF(K7=0,0,VLOOKUP(K7,同時開栓数,3))</f>
        <v>0</v>
      </c>
      <c r="V7" s="277">
        <f t="shared" si="1"/>
        <v>0</v>
      </c>
      <c r="W7" s="255">
        <f t="shared" si="2"/>
        <v>1.2</v>
      </c>
      <c r="X7" s="255" t="str">
        <f t="shared" si="3"/>
        <v>1.00</v>
      </c>
      <c r="Y7" s="278">
        <f t="shared" ref="Y7:Y45" si="20">IF(AP7&gt;50,AG7,AF7)</f>
        <v>30</v>
      </c>
      <c r="Z7" s="256">
        <f t="shared" si="4"/>
        <v>0.03</v>
      </c>
      <c r="AA7" s="187" t="str">
        <f t="shared" si="5"/>
        <v>ok</v>
      </c>
      <c r="AB7" s="38">
        <f t="shared" si="6"/>
        <v>1</v>
      </c>
      <c r="AC7" s="38" t="str">
        <f t="shared" ref="AC7:AC45" si="21">IF(AB7=0,0,TEXT(AB7,"0.00"))</f>
        <v>1.00</v>
      </c>
      <c r="AD7" s="38">
        <f t="shared" si="7"/>
        <v>1</v>
      </c>
      <c r="AE7" s="202">
        <f t="shared" si="8"/>
        <v>1</v>
      </c>
      <c r="AF7" s="203">
        <f t="shared" si="9"/>
        <v>30</v>
      </c>
      <c r="AG7" s="203">
        <f t="shared" si="9"/>
        <v>45</v>
      </c>
      <c r="AH7" s="204">
        <v>110</v>
      </c>
      <c r="AI7" s="205">
        <f>W7/1000</f>
        <v>1.1999999999999999E-3</v>
      </c>
      <c r="AJ7" s="206">
        <f t="shared" si="10"/>
        <v>72</v>
      </c>
      <c r="AK7" s="207">
        <f t="shared" si="11"/>
        <v>1.2566370614359172E-3</v>
      </c>
      <c r="AL7" s="205">
        <f t="shared" ref="AL7:AL45" si="22">IF(AI7=0,0,AI7/AK7)</f>
        <v>0.95492965855137202</v>
      </c>
      <c r="AM7" s="202">
        <f t="shared" si="12"/>
        <v>30.178726795762742</v>
      </c>
      <c r="AN7" s="208">
        <f t="shared" si="13"/>
        <v>45.277064212861731</v>
      </c>
      <c r="AO7" s="203">
        <f t="shared" si="14"/>
        <v>40</v>
      </c>
      <c r="AP7" s="203">
        <f t="shared" si="15"/>
        <v>0</v>
      </c>
      <c r="AQ7" s="208">
        <f t="shared" si="16"/>
        <v>1.19</v>
      </c>
      <c r="AR7" s="208">
        <f t="shared" si="17"/>
        <v>0.93</v>
      </c>
      <c r="AS7" s="208">
        <f t="shared" ref="AS7:AT45" si="23">ROUND(AQ7,1)</f>
        <v>1.2</v>
      </c>
      <c r="AT7" s="208">
        <f t="shared" si="23"/>
        <v>0.9</v>
      </c>
      <c r="AU7" s="187"/>
    </row>
    <row r="8" spans="1:47" ht="14.25" customHeight="1" x14ac:dyDescent="0.15">
      <c r="A8" s="187"/>
      <c r="B8" s="223">
        <v>4</v>
      </c>
      <c r="C8" s="281" t="s">
        <v>573</v>
      </c>
      <c r="D8" s="225"/>
      <c r="E8" s="187"/>
      <c r="F8" s="289">
        <v>5</v>
      </c>
      <c r="G8" s="298" t="str">
        <f t="shared" si="0"/>
        <v>甲乙丙</v>
      </c>
      <c r="H8" s="167"/>
      <c r="I8" s="166">
        <v>40</v>
      </c>
      <c r="J8" s="39">
        <v>5</v>
      </c>
      <c r="K8" s="37"/>
      <c r="L8" s="37"/>
      <c r="M8" s="183">
        <v>1</v>
      </c>
      <c r="N8" s="292"/>
      <c r="O8" s="187">
        <v>3</v>
      </c>
      <c r="P8" s="303" t="str">
        <f t="shared" si="18"/>
        <v>甲乙丙</v>
      </c>
      <c r="Q8" s="300">
        <f t="shared" si="18"/>
        <v>0</v>
      </c>
      <c r="R8" s="301">
        <f t="shared" si="18"/>
        <v>40</v>
      </c>
      <c r="S8" s="199">
        <f t="shared" si="18"/>
        <v>5</v>
      </c>
      <c r="T8" s="302">
        <f t="shared" si="18"/>
        <v>0</v>
      </c>
      <c r="U8" s="199">
        <f t="shared" si="19"/>
        <v>0</v>
      </c>
      <c r="V8" s="277">
        <f t="shared" si="1"/>
        <v>0</v>
      </c>
      <c r="W8" s="255">
        <f t="shared" si="2"/>
        <v>1.2</v>
      </c>
      <c r="X8" s="255" t="str">
        <f t="shared" si="3"/>
        <v>0.30</v>
      </c>
      <c r="Y8" s="278">
        <f t="shared" si="20"/>
        <v>30</v>
      </c>
      <c r="Z8" s="256">
        <f t="shared" si="4"/>
        <v>0.01</v>
      </c>
      <c r="AA8" s="187" t="str">
        <f t="shared" si="5"/>
        <v>ok</v>
      </c>
      <c r="AB8" s="38">
        <f t="shared" si="6"/>
        <v>0.3</v>
      </c>
      <c r="AC8" s="38" t="str">
        <f t="shared" si="21"/>
        <v>0.30</v>
      </c>
      <c r="AD8" s="38">
        <f t="shared" si="7"/>
        <v>0.3</v>
      </c>
      <c r="AE8" s="202">
        <f t="shared" si="8"/>
        <v>1</v>
      </c>
      <c r="AF8" s="203">
        <f t="shared" si="9"/>
        <v>30</v>
      </c>
      <c r="AG8" s="203">
        <f t="shared" si="9"/>
        <v>45</v>
      </c>
      <c r="AH8" s="204">
        <v>110</v>
      </c>
      <c r="AI8" s="205">
        <f>W8/1000</f>
        <v>1.1999999999999999E-3</v>
      </c>
      <c r="AJ8" s="206">
        <f t="shared" si="10"/>
        <v>72</v>
      </c>
      <c r="AK8" s="207">
        <f t="shared" si="11"/>
        <v>1.2566370614359172E-3</v>
      </c>
      <c r="AL8" s="205">
        <f t="shared" si="22"/>
        <v>0.95492965855137202</v>
      </c>
      <c r="AM8" s="202">
        <f t="shared" si="12"/>
        <v>30.178726795762742</v>
      </c>
      <c r="AN8" s="208">
        <f t="shared" si="13"/>
        <v>45.277064212861731</v>
      </c>
      <c r="AO8" s="203">
        <f t="shared" si="14"/>
        <v>40</v>
      </c>
      <c r="AP8" s="203">
        <f t="shared" si="15"/>
        <v>40</v>
      </c>
      <c r="AQ8" s="208">
        <f t="shared" si="16"/>
        <v>1.19</v>
      </c>
      <c r="AR8" s="208">
        <f t="shared" si="17"/>
        <v>0.93</v>
      </c>
      <c r="AS8" s="208">
        <f t="shared" si="23"/>
        <v>1.2</v>
      </c>
      <c r="AT8" s="208">
        <f t="shared" si="23"/>
        <v>0.9</v>
      </c>
      <c r="AU8" s="187"/>
    </row>
    <row r="9" spans="1:47" ht="14.25" customHeight="1" x14ac:dyDescent="0.15">
      <c r="A9" s="187"/>
      <c r="B9" s="223">
        <v>5</v>
      </c>
      <c r="C9" s="281" t="s">
        <v>9</v>
      </c>
      <c r="D9" s="225"/>
      <c r="E9" s="187"/>
      <c r="F9" s="290">
        <v>16</v>
      </c>
      <c r="G9" s="298" t="str">
        <f t="shared" si="0"/>
        <v>Ｂ～Ｃ</v>
      </c>
      <c r="H9" s="167"/>
      <c r="I9" s="166">
        <v>40</v>
      </c>
      <c r="J9" s="39">
        <v>5</v>
      </c>
      <c r="K9" s="37"/>
      <c r="L9" s="37"/>
      <c r="M9" s="183">
        <v>1</v>
      </c>
      <c r="N9" s="292"/>
      <c r="O9" s="187">
        <v>4</v>
      </c>
      <c r="P9" s="303" t="str">
        <f t="shared" si="18"/>
        <v>Ｂ～Ｃ</v>
      </c>
      <c r="Q9" s="300">
        <f t="shared" si="18"/>
        <v>0</v>
      </c>
      <c r="R9" s="301">
        <f t="shared" si="18"/>
        <v>40</v>
      </c>
      <c r="S9" s="199">
        <f t="shared" si="18"/>
        <v>5</v>
      </c>
      <c r="T9" s="302">
        <f t="shared" si="18"/>
        <v>0</v>
      </c>
      <c r="U9" s="199">
        <f t="shared" si="19"/>
        <v>0</v>
      </c>
      <c r="V9" s="277">
        <f t="shared" si="1"/>
        <v>0</v>
      </c>
      <c r="W9" s="255">
        <f t="shared" si="2"/>
        <v>1.2</v>
      </c>
      <c r="X9" s="255" t="str">
        <f t="shared" si="3"/>
        <v>10.00</v>
      </c>
      <c r="Y9" s="278">
        <f t="shared" si="20"/>
        <v>30</v>
      </c>
      <c r="Z9" s="256">
        <f t="shared" si="4"/>
        <v>0.3</v>
      </c>
      <c r="AA9" s="187" t="str">
        <f t="shared" si="5"/>
        <v>ok</v>
      </c>
      <c r="AB9" s="38">
        <f t="shared" si="6"/>
        <v>10</v>
      </c>
      <c r="AC9" s="38" t="str">
        <f t="shared" si="21"/>
        <v>10.00</v>
      </c>
      <c r="AD9" s="38">
        <f t="shared" si="7"/>
        <v>10</v>
      </c>
      <c r="AE9" s="202">
        <f t="shared" si="8"/>
        <v>1</v>
      </c>
      <c r="AF9" s="203">
        <f t="shared" si="9"/>
        <v>30</v>
      </c>
      <c r="AG9" s="203">
        <f t="shared" si="9"/>
        <v>45</v>
      </c>
      <c r="AH9" s="204">
        <v>110</v>
      </c>
      <c r="AI9" s="205">
        <f>W9/1000</f>
        <v>1.1999999999999999E-3</v>
      </c>
      <c r="AJ9" s="206">
        <f t="shared" si="10"/>
        <v>72</v>
      </c>
      <c r="AK9" s="207">
        <f t="shared" si="11"/>
        <v>1.2566370614359172E-3</v>
      </c>
      <c r="AL9" s="205">
        <f t="shared" si="22"/>
        <v>0.95492965855137202</v>
      </c>
      <c r="AM9" s="202">
        <f t="shared" si="12"/>
        <v>30.178726795762742</v>
      </c>
      <c r="AN9" s="208">
        <f t="shared" si="13"/>
        <v>45.277064212861731</v>
      </c>
      <c r="AO9" s="203">
        <f t="shared" si="14"/>
        <v>40</v>
      </c>
      <c r="AP9" s="203">
        <f t="shared" si="15"/>
        <v>40</v>
      </c>
      <c r="AQ9" s="208">
        <f t="shared" si="16"/>
        <v>1.19</v>
      </c>
      <c r="AR9" s="208">
        <f t="shared" si="17"/>
        <v>0.93</v>
      </c>
      <c r="AS9" s="208">
        <f t="shared" si="23"/>
        <v>1.2</v>
      </c>
      <c r="AT9" s="208">
        <f t="shared" si="23"/>
        <v>0.9</v>
      </c>
      <c r="AU9" s="187"/>
    </row>
    <row r="10" spans="1:47" ht="14.25" customHeight="1" x14ac:dyDescent="0.15">
      <c r="A10" s="187"/>
      <c r="B10" s="223">
        <v>6</v>
      </c>
      <c r="C10" s="281" t="s">
        <v>589</v>
      </c>
      <c r="D10" s="225"/>
      <c r="E10" s="187"/>
      <c r="F10" s="290">
        <v>17</v>
      </c>
      <c r="G10" s="298" t="str">
        <f t="shared" si="0"/>
        <v>Ｃ～Ｄ</v>
      </c>
      <c r="H10" s="167"/>
      <c r="I10" s="166">
        <v>40</v>
      </c>
      <c r="J10" s="39">
        <v>5</v>
      </c>
      <c r="K10" s="37"/>
      <c r="L10" s="37"/>
      <c r="M10" s="183">
        <v>1</v>
      </c>
      <c r="N10" s="292"/>
      <c r="O10" s="187">
        <v>5</v>
      </c>
      <c r="P10" s="303" t="str">
        <f t="shared" si="18"/>
        <v>Ｃ～Ｄ</v>
      </c>
      <c r="Q10" s="300">
        <f t="shared" si="18"/>
        <v>0</v>
      </c>
      <c r="R10" s="301">
        <f t="shared" si="18"/>
        <v>40</v>
      </c>
      <c r="S10" s="199">
        <f t="shared" si="18"/>
        <v>5</v>
      </c>
      <c r="T10" s="302">
        <f t="shared" si="18"/>
        <v>0</v>
      </c>
      <c r="U10" s="199">
        <f t="shared" si="19"/>
        <v>0</v>
      </c>
      <c r="V10" s="277">
        <f t="shared" si="1"/>
        <v>0</v>
      </c>
      <c r="W10" s="255">
        <f t="shared" si="2"/>
        <v>1.2</v>
      </c>
      <c r="X10" s="255" t="str">
        <f t="shared" si="3"/>
        <v>2.00</v>
      </c>
      <c r="Y10" s="278">
        <f t="shared" si="20"/>
        <v>30</v>
      </c>
      <c r="Z10" s="256">
        <f t="shared" si="4"/>
        <v>0.06</v>
      </c>
      <c r="AA10" s="187" t="str">
        <f t="shared" si="5"/>
        <v>ok</v>
      </c>
      <c r="AB10" s="38">
        <f t="shared" si="6"/>
        <v>2</v>
      </c>
      <c r="AC10" s="38" t="str">
        <f t="shared" si="21"/>
        <v>2.00</v>
      </c>
      <c r="AD10" s="38">
        <f t="shared" si="7"/>
        <v>2</v>
      </c>
      <c r="AE10" s="202">
        <f t="shared" si="8"/>
        <v>1</v>
      </c>
      <c r="AF10" s="203">
        <f t="shared" si="9"/>
        <v>30</v>
      </c>
      <c r="AG10" s="203">
        <f t="shared" si="9"/>
        <v>45</v>
      </c>
      <c r="AH10" s="204">
        <v>110</v>
      </c>
      <c r="AI10" s="205">
        <f t="shared" ref="AI10:AI45" si="24">W10/1000</f>
        <v>1.1999999999999999E-3</v>
      </c>
      <c r="AJ10" s="206">
        <f t="shared" si="10"/>
        <v>72</v>
      </c>
      <c r="AK10" s="207">
        <f t="shared" si="11"/>
        <v>1.2566370614359172E-3</v>
      </c>
      <c r="AL10" s="205">
        <f t="shared" si="22"/>
        <v>0.95492965855137202</v>
      </c>
      <c r="AM10" s="202">
        <f t="shared" si="12"/>
        <v>30.178726795762742</v>
      </c>
      <c r="AN10" s="208">
        <f t="shared" si="13"/>
        <v>45.277064212861731</v>
      </c>
      <c r="AO10" s="203">
        <f t="shared" si="14"/>
        <v>40</v>
      </c>
      <c r="AP10" s="203">
        <f t="shared" si="15"/>
        <v>40</v>
      </c>
      <c r="AQ10" s="208">
        <f t="shared" si="16"/>
        <v>1.19</v>
      </c>
      <c r="AR10" s="208">
        <f t="shared" si="17"/>
        <v>0.93</v>
      </c>
      <c r="AS10" s="208">
        <f t="shared" si="23"/>
        <v>1.2</v>
      </c>
      <c r="AT10" s="208">
        <f t="shared" si="23"/>
        <v>0.9</v>
      </c>
      <c r="AU10" s="187"/>
    </row>
    <row r="11" spans="1:47" ht="14.25" customHeight="1" x14ac:dyDescent="0.15">
      <c r="A11" s="187"/>
      <c r="B11" s="223">
        <v>7</v>
      </c>
      <c r="C11" s="281" t="s">
        <v>5</v>
      </c>
      <c r="D11" s="225"/>
      <c r="E11" s="187"/>
      <c r="F11" s="290">
        <v>18</v>
      </c>
      <c r="G11" s="298" t="str">
        <f t="shared" si="0"/>
        <v>Ｄ～Ｅ</v>
      </c>
      <c r="H11" s="167"/>
      <c r="I11" s="166">
        <v>40</v>
      </c>
      <c r="J11" s="39">
        <v>5</v>
      </c>
      <c r="K11" s="37"/>
      <c r="L11" s="37"/>
      <c r="M11" s="183">
        <v>1</v>
      </c>
      <c r="N11" s="292"/>
      <c r="O11" s="187">
        <v>6</v>
      </c>
      <c r="P11" s="303" t="str">
        <f t="shared" si="18"/>
        <v>Ｄ～Ｅ</v>
      </c>
      <c r="Q11" s="300">
        <f t="shared" si="18"/>
        <v>0</v>
      </c>
      <c r="R11" s="301">
        <f t="shared" si="18"/>
        <v>40</v>
      </c>
      <c r="S11" s="199">
        <f t="shared" si="18"/>
        <v>5</v>
      </c>
      <c r="T11" s="302">
        <f t="shared" si="18"/>
        <v>0</v>
      </c>
      <c r="U11" s="199">
        <f t="shared" si="19"/>
        <v>0</v>
      </c>
      <c r="V11" s="277">
        <f t="shared" si="1"/>
        <v>0</v>
      </c>
      <c r="W11" s="255">
        <f t="shared" si="2"/>
        <v>1.2</v>
      </c>
      <c r="X11" s="255" t="str">
        <f t="shared" si="3"/>
        <v>2.00</v>
      </c>
      <c r="Y11" s="278">
        <f t="shared" si="20"/>
        <v>30</v>
      </c>
      <c r="Z11" s="256">
        <f t="shared" si="4"/>
        <v>0.06</v>
      </c>
      <c r="AA11" s="187" t="str">
        <f t="shared" si="5"/>
        <v>ok</v>
      </c>
      <c r="AB11" s="38">
        <f t="shared" si="6"/>
        <v>2</v>
      </c>
      <c r="AC11" s="38" t="str">
        <f t="shared" si="21"/>
        <v>2.00</v>
      </c>
      <c r="AD11" s="38">
        <f t="shared" si="7"/>
        <v>2</v>
      </c>
      <c r="AE11" s="202">
        <f t="shared" si="8"/>
        <v>1</v>
      </c>
      <c r="AF11" s="203">
        <f t="shared" si="9"/>
        <v>30</v>
      </c>
      <c r="AG11" s="203">
        <f t="shared" si="9"/>
        <v>45</v>
      </c>
      <c r="AH11" s="204">
        <v>110</v>
      </c>
      <c r="AI11" s="205">
        <f t="shared" si="24"/>
        <v>1.1999999999999999E-3</v>
      </c>
      <c r="AJ11" s="206">
        <f t="shared" si="10"/>
        <v>72</v>
      </c>
      <c r="AK11" s="207">
        <f t="shared" si="11"/>
        <v>1.2566370614359172E-3</v>
      </c>
      <c r="AL11" s="205">
        <f t="shared" si="22"/>
        <v>0.95492965855137202</v>
      </c>
      <c r="AM11" s="202">
        <f t="shared" si="12"/>
        <v>30.178726795762742</v>
      </c>
      <c r="AN11" s="208">
        <f t="shared" si="13"/>
        <v>45.277064212861731</v>
      </c>
      <c r="AO11" s="203">
        <f t="shared" si="14"/>
        <v>40</v>
      </c>
      <c r="AP11" s="203">
        <f t="shared" si="15"/>
        <v>40</v>
      </c>
      <c r="AQ11" s="208">
        <f t="shared" si="16"/>
        <v>1.19</v>
      </c>
      <c r="AR11" s="208">
        <f t="shared" si="17"/>
        <v>0.93</v>
      </c>
      <c r="AS11" s="208">
        <f t="shared" si="23"/>
        <v>1.2</v>
      </c>
      <c r="AT11" s="208">
        <f t="shared" si="23"/>
        <v>0.9</v>
      </c>
      <c r="AU11" s="187"/>
    </row>
    <row r="12" spans="1:47" ht="14.25" customHeight="1" x14ac:dyDescent="0.15">
      <c r="A12" s="187"/>
      <c r="B12" s="223">
        <v>8</v>
      </c>
      <c r="C12" s="282" t="s">
        <v>13</v>
      </c>
      <c r="D12" s="225"/>
      <c r="E12" s="187"/>
      <c r="F12" s="290">
        <v>19</v>
      </c>
      <c r="G12" s="298" t="str">
        <f t="shared" si="0"/>
        <v>Ｅ～Ｆ</v>
      </c>
      <c r="H12" s="167"/>
      <c r="I12" s="166">
        <v>40</v>
      </c>
      <c r="J12" s="39">
        <v>5</v>
      </c>
      <c r="K12" s="37"/>
      <c r="L12" s="37"/>
      <c r="M12" s="183">
        <v>1</v>
      </c>
      <c r="N12" s="292"/>
      <c r="O12" s="187">
        <v>7</v>
      </c>
      <c r="P12" s="303" t="str">
        <f t="shared" si="18"/>
        <v>Ｅ～Ｆ</v>
      </c>
      <c r="Q12" s="300">
        <f t="shared" si="18"/>
        <v>0</v>
      </c>
      <c r="R12" s="301">
        <f t="shared" si="18"/>
        <v>40</v>
      </c>
      <c r="S12" s="199">
        <f t="shared" si="18"/>
        <v>5</v>
      </c>
      <c r="T12" s="302">
        <f t="shared" si="18"/>
        <v>0</v>
      </c>
      <c r="U12" s="199">
        <f t="shared" si="19"/>
        <v>0</v>
      </c>
      <c r="V12" s="277">
        <f t="shared" si="1"/>
        <v>0</v>
      </c>
      <c r="W12" s="255">
        <f t="shared" si="2"/>
        <v>1.2</v>
      </c>
      <c r="X12" s="255" t="str">
        <f t="shared" si="3"/>
        <v>1.00</v>
      </c>
      <c r="Y12" s="278">
        <f t="shared" si="20"/>
        <v>30</v>
      </c>
      <c r="Z12" s="256">
        <f t="shared" si="4"/>
        <v>0.03</v>
      </c>
      <c r="AA12" s="187" t="str">
        <f t="shared" si="5"/>
        <v>ok</v>
      </c>
      <c r="AB12" s="38">
        <f t="shared" si="6"/>
        <v>1</v>
      </c>
      <c r="AC12" s="38" t="str">
        <f t="shared" si="21"/>
        <v>1.00</v>
      </c>
      <c r="AD12" s="38">
        <f t="shared" si="7"/>
        <v>1</v>
      </c>
      <c r="AE12" s="202">
        <f t="shared" si="8"/>
        <v>1</v>
      </c>
      <c r="AF12" s="203">
        <f t="shared" si="9"/>
        <v>30</v>
      </c>
      <c r="AG12" s="203">
        <f t="shared" si="9"/>
        <v>45</v>
      </c>
      <c r="AH12" s="204">
        <v>110</v>
      </c>
      <c r="AI12" s="205">
        <f t="shared" si="24"/>
        <v>1.1999999999999999E-3</v>
      </c>
      <c r="AJ12" s="206">
        <f t="shared" si="10"/>
        <v>72</v>
      </c>
      <c r="AK12" s="207">
        <f t="shared" si="11"/>
        <v>1.2566370614359172E-3</v>
      </c>
      <c r="AL12" s="205">
        <f t="shared" si="22"/>
        <v>0.95492965855137202</v>
      </c>
      <c r="AM12" s="202">
        <f t="shared" si="12"/>
        <v>30.178726795762742</v>
      </c>
      <c r="AN12" s="208">
        <f t="shared" si="13"/>
        <v>45.277064212861731</v>
      </c>
      <c r="AO12" s="203">
        <f t="shared" si="14"/>
        <v>40</v>
      </c>
      <c r="AP12" s="203">
        <f t="shared" si="15"/>
        <v>40</v>
      </c>
      <c r="AQ12" s="208">
        <f t="shared" si="16"/>
        <v>1.19</v>
      </c>
      <c r="AR12" s="208">
        <f t="shared" si="17"/>
        <v>0.93</v>
      </c>
      <c r="AS12" s="208">
        <f t="shared" si="23"/>
        <v>1.2</v>
      </c>
      <c r="AT12" s="208">
        <f t="shared" si="23"/>
        <v>0.9</v>
      </c>
      <c r="AU12" s="187"/>
    </row>
    <row r="13" spans="1:47" ht="14.25" customHeight="1" x14ac:dyDescent="0.15">
      <c r="A13" s="187"/>
      <c r="B13" s="223">
        <v>9</v>
      </c>
      <c r="C13" s="282" t="s">
        <v>12</v>
      </c>
      <c r="D13" s="226"/>
      <c r="E13" s="187"/>
      <c r="F13" s="290">
        <v>20</v>
      </c>
      <c r="G13" s="298" t="str">
        <f t="shared" si="0"/>
        <v>Ｆ～Ｇ</v>
      </c>
      <c r="H13" s="167"/>
      <c r="I13" s="166">
        <v>40</v>
      </c>
      <c r="J13" s="39">
        <v>5</v>
      </c>
      <c r="K13" s="37"/>
      <c r="L13" s="37"/>
      <c r="M13" s="183">
        <v>1</v>
      </c>
      <c r="N13" s="292"/>
      <c r="O13" s="187">
        <v>8</v>
      </c>
      <c r="P13" s="303" t="str">
        <f t="shared" si="18"/>
        <v>Ｆ～Ｇ</v>
      </c>
      <c r="Q13" s="300">
        <f t="shared" si="18"/>
        <v>0</v>
      </c>
      <c r="R13" s="301">
        <f t="shared" si="18"/>
        <v>40</v>
      </c>
      <c r="S13" s="199">
        <f t="shared" si="18"/>
        <v>5</v>
      </c>
      <c r="T13" s="302">
        <f t="shared" si="18"/>
        <v>0</v>
      </c>
      <c r="U13" s="199">
        <f t="shared" si="19"/>
        <v>0</v>
      </c>
      <c r="V13" s="277">
        <f t="shared" si="1"/>
        <v>0</v>
      </c>
      <c r="W13" s="255">
        <f t="shared" si="2"/>
        <v>1.2</v>
      </c>
      <c r="X13" s="255" t="str">
        <f t="shared" si="3"/>
        <v>8.40</v>
      </c>
      <c r="Y13" s="278">
        <f t="shared" si="20"/>
        <v>30</v>
      </c>
      <c r="Z13" s="256">
        <f t="shared" si="4"/>
        <v>0.25</v>
      </c>
      <c r="AA13" s="187" t="str">
        <f t="shared" si="5"/>
        <v>ok</v>
      </c>
      <c r="AB13" s="38">
        <f t="shared" si="6"/>
        <v>8.4</v>
      </c>
      <c r="AC13" s="38" t="str">
        <f t="shared" si="21"/>
        <v>8.40</v>
      </c>
      <c r="AD13" s="38">
        <f t="shared" si="7"/>
        <v>8.4</v>
      </c>
      <c r="AE13" s="202">
        <f t="shared" si="8"/>
        <v>1</v>
      </c>
      <c r="AF13" s="203">
        <f t="shared" si="9"/>
        <v>30</v>
      </c>
      <c r="AG13" s="203">
        <f t="shared" si="9"/>
        <v>45</v>
      </c>
      <c r="AH13" s="204">
        <v>110</v>
      </c>
      <c r="AI13" s="205">
        <f t="shared" si="24"/>
        <v>1.1999999999999999E-3</v>
      </c>
      <c r="AJ13" s="206">
        <f t="shared" si="10"/>
        <v>72</v>
      </c>
      <c r="AK13" s="207">
        <f t="shared" si="11"/>
        <v>1.2566370614359172E-3</v>
      </c>
      <c r="AL13" s="205">
        <f t="shared" si="22"/>
        <v>0.95492965855137202</v>
      </c>
      <c r="AM13" s="202">
        <f t="shared" si="12"/>
        <v>30.178726795762742</v>
      </c>
      <c r="AN13" s="208">
        <f t="shared" si="13"/>
        <v>45.277064212861731</v>
      </c>
      <c r="AO13" s="203">
        <f t="shared" si="14"/>
        <v>40</v>
      </c>
      <c r="AP13" s="203">
        <f t="shared" si="15"/>
        <v>40</v>
      </c>
      <c r="AQ13" s="208">
        <f t="shared" si="16"/>
        <v>1.19</v>
      </c>
      <c r="AR13" s="208">
        <f t="shared" si="17"/>
        <v>0.93</v>
      </c>
      <c r="AS13" s="208">
        <f t="shared" si="23"/>
        <v>1.2</v>
      </c>
      <c r="AT13" s="208">
        <f t="shared" si="23"/>
        <v>0.9</v>
      </c>
      <c r="AU13" s="187"/>
    </row>
    <row r="14" spans="1:47" ht="14.25" customHeight="1" x14ac:dyDescent="0.15">
      <c r="A14" s="187"/>
      <c r="B14" s="223">
        <v>10</v>
      </c>
      <c r="C14" s="283" t="s">
        <v>584</v>
      </c>
      <c r="D14" s="227"/>
      <c r="E14" s="187"/>
      <c r="F14" s="290">
        <v>21</v>
      </c>
      <c r="G14" s="298" t="str">
        <f t="shared" si="0"/>
        <v>Ｇ～Ｈ</v>
      </c>
      <c r="H14" s="167"/>
      <c r="I14" s="166">
        <v>40</v>
      </c>
      <c r="J14" s="39">
        <v>5</v>
      </c>
      <c r="K14" s="37"/>
      <c r="L14" s="37"/>
      <c r="M14" s="183">
        <v>1</v>
      </c>
      <c r="N14" s="292"/>
      <c r="O14" s="187">
        <v>9</v>
      </c>
      <c r="P14" s="303" t="str">
        <f t="shared" si="18"/>
        <v>Ｇ～Ｈ</v>
      </c>
      <c r="Q14" s="300">
        <f t="shared" si="18"/>
        <v>0</v>
      </c>
      <c r="R14" s="301">
        <f t="shared" si="18"/>
        <v>40</v>
      </c>
      <c r="S14" s="199">
        <f t="shared" si="18"/>
        <v>5</v>
      </c>
      <c r="T14" s="302">
        <f t="shared" si="18"/>
        <v>0</v>
      </c>
      <c r="U14" s="199">
        <f t="shared" si="19"/>
        <v>0</v>
      </c>
      <c r="V14" s="277">
        <f t="shared" si="1"/>
        <v>0</v>
      </c>
      <c r="W14" s="255">
        <f t="shared" si="2"/>
        <v>1.2</v>
      </c>
      <c r="X14" s="255" t="str">
        <f t="shared" si="3"/>
        <v>1.90</v>
      </c>
      <c r="Y14" s="278">
        <f t="shared" si="20"/>
        <v>30</v>
      </c>
      <c r="Z14" s="256">
        <f t="shared" si="4"/>
        <v>0.06</v>
      </c>
      <c r="AA14" s="187" t="str">
        <f t="shared" si="5"/>
        <v>ok</v>
      </c>
      <c r="AB14" s="38">
        <f t="shared" si="6"/>
        <v>1.9</v>
      </c>
      <c r="AC14" s="38" t="str">
        <f t="shared" si="21"/>
        <v>1.90</v>
      </c>
      <c r="AD14" s="38">
        <f t="shared" si="7"/>
        <v>1.9</v>
      </c>
      <c r="AE14" s="202">
        <f t="shared" si="8"/>
        <v>1</v>
      </c>
      <c r="AF14" s="203">
        <f t="shared" si="9"/>
        <v>30</v>
      </c>
      <c r="AG14" s="203">
        <f t="shared" si="9"/>
        <v>45</v>
      </c>
      <c r="AH14" s="204">
        <v>110</v>
      </c>
      <c r="AI14" s="205">
        <f t="shared" si="24"/>
        <v>1.1999999999999999E-3</v>
      </c>
      <c r="AJ14" s="206">
        <f t="shared" si="10"/>
        <v>72</v>
      </c>
      <c r="AK14" s="207">
        <f t="shared" si="11"/>
        <v>1.2566370614359172E-3</v>
      </c>
      <c r="AL14" s="205">
        <f t="shared" si="22"/>
        <v>0.95492965855137202</v>
      </c>
      <c r="AM14" s="202">
        <f t="shared" si="12"/>
        <v>30.178726795762742</v>
      </c>
      <c r="AN14" s="208">
        <f t="shared" si="13"/>
        <v>45.277064212861731</v>
      </c>
      <c r="AO14" s="203">
        <f t="shared" si="14"/>
        <v>40</v>
      </c>
      <c r="AP14" s="203">
        <f t="shared" si="15"/>
        <v>40</v>
      </c>
      <c r="AQ14" s="208">
        <f t="shared" si="16"/>
        <v>1.19</v>
      </c>
      <c r="AR14" s="208">
        <f t="shared" si="17"/>
        <v>0.93</v>
      </c>
      <c r="AS14" s="208">
        <f t="shared" si="23"/>
        <v>1.2</v>
      </c>
      <c r="AT14" s="208">
        <f t="shared" si="23"/>
        <v>0.9</v>
      </c>
      <c r="AU14" s="187"/>
    </row>
    <row r="15" spans="1:47" ht="14.25" customHeight="1" x14ac:dyDescent="0.15">
      <c r="A15" s="187"/>
      <c r="B15" s="223">
        <v>11</v>
      </c>
      <c r="C15" s="283" t="s">
        <v>585</v>
      </c>
      <c r="D15" s="227"/>
      <c r="E15" s="187"/>
      <c r="F15" s="290">
        <v>22</v>
      </c>
      <c r="G15" s="298" t="str">
        <f t="shared" si="0"/>
        <v>Ｈ～Ｉ</v>
      </c>
      <c r="H15" s="167"/>
      <c r="I15" s="166">
        <v>40</v>
      </c>
      <c r="J15" s="39">
        <v>5</v>
      </c>
      <c r="K15" s="37"/>
      <c r="L15" s="37"/>
      <c r="M15" s="183">
        <v>1</v>
      </c>
      <c r="N15" s="292"/>
      <c r="O15" s="187">
        <v>10</v>
      </c>
      <c r="P15" s="303" t="str">
        <f t="shared" si="18"/>
        <v>Ｈ～Ｉ</v>
      </c>
      <c r="Q15" s="300">
        <f t="shared" si="18"/>
        <v>0</v>
      </c>
      <c r="R15" s="301">
        <f t="shared" si="18"/>
        <v>40</v>
      </c>
      <c r="S15" s="199">
        <f t="shared" si="18"/>
        <v>5</v>
      </c>
      <c r="T15" s="302">
        <f t="shared" si="18"/>
        <v>0</v>
      </c>
      <c r="U15" s="199">
        <f t="shared" si="19"/>
        <v>0</v>
      </c>
      <c r="V15" s="277">
        <f t="shared" si="1"/>
        <v>0</v>
      </c>
      <c r="W15" s="255">
        <f t="shared" si="2"/>
        <v>1.2</v>
      </c>
      <c r="X15" s="255" t="str">
        <f t="shared" si="3"/>
        <v>10.50</v>
      </c>
      <c r="Y15" s="278">
        <f t="shared" si="20"/>
        <v>30</v>
      </c>
      <c r="Z15" s="256">
        <f t="shared" si="4"/>
        <v>0.32</v>
      </c>
      <c r="AA15" s="187" t="str">
        <f t="shared" si="5"/>
        <v>ok</v>
      </c>
      <c r="AB15" s="38">
        <f t="shared" si="6"/>
        <v>10.5</v>
      </c>
      <c r="AC15" s="38" t="str">
        <f t="shared" si="21"/>
        <v>10.50</v>
      </c>
      <c r="AD15" s="38">
        <f t="shared" si="7"/>
        <v>10.5</v>
      </c>
      <c r="AE15" s="202">
        <f t="shared" si="8"/>
        <v>1</v>
      </c>
      <c r="AF15" s="203">
        <f t="shared" si="9"/>
        <v>30</v>
      </c>
      <c r="AG15" s="203">
        <f t="shared" si="9"/>
        <v>45</v>
      </c>
      <c r="AH15" s="204">
        <v>110</v>
      </c>
      <c r="AI15" s="205">
        <f t="shared" si="24"/>
        <v>1.1999999999999999E-3</v>
      </c>
      <c r="AJ15" s="206">
        <f t="shared" si="10"/>
        <v>72</v>
      </c>
      <c r="AK15" s="207">
        <f t="shared" si="11"/>
        <v>1.2566370614359172E-3</v>
      </c>
      <c r="AL15" s="205">
        <f t="shared" si="22"/>
        <v>0.95492965855137202</v>
      </c>
      <c r="AM15" s="202">
        <f t="shared" si="12"/>
        <v>30.178726795762742</v>
      </c>
      <c r="AN15" s="208">
        <f t="shared" si="13"/>
        <v>45.277064212861731</v>
      </c>
      <c r="AO15" s="203">
        <f t="shared" si="14"/>
        <v>40</v>
      </c>
      <c r="AP15" s="203">
        <f t="shared" si="15"/>
        <v>40</v>
      </c>
      <c r="AQ15" s="208">
        <f t="shared" si="16"/>
        <v>1.19</v>
      </c>
      <c r="AR15" s="208">
        <f t="shared" si="17"/>
        <v>0.93</v>
      </c>
      <c r="AS15" s="208">
        <f t="shared" si="23"/>
        <v>1.2</v>
      </c>
      <c r="AT15" s="208">
        <f t="shared" si="23"/>
        <v>0.9</v>
      </c>
      <c r="AU15" s="187"/>
    </row>
    <row r="16" spans="1:47" ht="14.25" customHeight="1" x14ac:dyDescent="0.15">
      <c r="A16" s="187"/>
      <c r="B16" s="223">
        <v>12</v>
      </c>
      <c r="C16" s="283" t="s">
        <v>586</v>
      </c>
      <c r="D16" s="227"/>
      <c r="E16" s="187"/>
      <c r="F16" s="290">
        <v>23</v>
      </c>
      <c r="G16" s="298" t="str">
        <f t="shared" si="0"/>
        <v>Ｉ～Ｊ</v>
      </c>
      <c r="H16" s="167">
        <v>40</v>
      </c>
      <c r="I16" s="166">
        <v>25</v>
      </c>
      <c r="J16" s="39"/>
      <c r="K16" s="37">
        <v>12</v>
      </c>
      <c r="L16" s="37">
        <v>12</v>
      </c>
      <c r="M16" s="183">
        <v>1</v>
      </c>
      <c r="N16" s="292"/>
      <c r="O16" s="187">
        <v>11</v>
      </c>
      <c r="P16" s="303" t="str">
        <f t="shared" si="18"/>
        <v>Ｉ～Ｊ</v>
      </c>
      <c r="Q16" s="300">
        <f t="shared" si="18"/>
        <v>40</v>
      </c>
      <c r="R16" s="301">
        <f t="shared" si="18"/>
        <v>25</v>
      </c>
      <c r="S16" s="199">
        <f t="shared" si="18"/>
        <v>0</v>
      </c>
      <c r="T16" s="302">
        <f t="shared" si="18"/>
        <v>12</v>
      </c>
      <c r="U16" s="199">
        <f t="shared" si="19"/>
        <v>4</v>
      </c>
      <c r="V16" s="277">
        <f t="shared" si="1"/>
        <v>0.2</v>
      </c>
      <c r="W16" s="255">
        <f t="shared" si="2"/>
        <v>0.8</v>
      </c>
      <c r="X16" s="255" t="str">
        <f t="shared" si="3"/>
        <v>0.30</v>
      </c>
      <c r="Y16" s="278">
        <f t="shared" si="20"/>
        <v>131</v>
      </c>
      <c r="Z16" s="256">
        <f t="shared" si="4"/>
        <v>0.04</v>
      </c>
      <c r="AA16" s="187" t="str">
        <f t="shared" si="5"/>
        <v>ok</v>
      </c>
      <c r="AB16" s="38">
        <f t="shared" si="6"/>
        <v>0.3</v>
      </c>
      <c r="AC16" s="38" t="str">
        <f t="shared" si="21"/>
        <v>0.30</v>
      </c>
      <c r="AD16" s="38">
        <f t="shared" si="7"/>
        <v>0.3</v>
      </c>
      <c r="AE16" s="202">
        <f t="shared" si="8"/>
        <v>1.6</v>
      </c>
      <c r="AF16" s="203">
        <f t="shared" si="9"/>
        <v>131</v>
      </c>
      <c r="AG16" s="203">
        <f t="shared" si="9"/>
        <v>211</v>
      </c>
      <c r="AH16" s="204">
        <v>110</v>
      </c>
      <c r="AI16" s="205">
        <f t="shared" si="24"/>
        <v>8.0000000000000004E-4</v>
      </c>
      <c r="AJ16" s="206">
        <f t="shared" si="10"/>
        <v>48</v>
      </c>
      <c r="AK16" s="207">
        <f t="shared" si="11"/>
        <v>4.9087385212340522E-4</v>
      </c>
      <c r="AL16" s="205">
        <f t="shared" si="22"/>
        <v>1.6297466172610082</v>
      </c>
      <c r="AM16" s="202">
        <f t="shared" si="12"/>
        <v>130.59906442870553</v>
      </c>
      <c r="AN16" s="208">
        <f t="shared" si="13"/>
        <v>210.94719045178238</v>
      </c>
      <c r="AO16" s="203">
        <f t="shared" si="14"/>
        <v>40</v>
      </c>
      <c r="AP16" s="203">
        <f t="shared" si="15"/>
        <v>25</v>
      </c>
      <c r="AQ16" s="208">
        <f t="shared" si="16"/>
        <v>0</v>
      </c>
      <c r="AR16" s="208">
        <f t="shared" si="17"/>
        <v>0</v>
      </c>
      <c r="AS16" s="208">
        <f t="shared" si="23"/>
        <v>0</v>
      </c>
      <c r="AT16" s="208">
        <f t="shared" si="23"/>
        <v>0</v>
      </c>
      <c r="AU16" s="187"/>
    </row>
    <row r="17" spans="1:48" ht="14.25" customHeight="1" x14ac:dyDescent="0.15">
      <c r="A17" s="187"/>
      <c r="B17" s="223">
        <v>13</v>
      </c>
      <c r="C17" s="283" t="s">
        <v>587</v>
      </c>
      <c r="D17" s="227"/>
      <c r="E17" s="187"/>
      <c r="F17" s="290">
        <v>8</v>
      </c>
      <c r="G17" s="298" t="str">
        <f t="shared" si="0"/>
        <v>異径</v>
      </c>
      <c r="H17" s="167"/>
      <c r="I17" s="166">
        <v>25</v>
      </c>
      <c r="J17" s="39"/>
      <c r="K17" s="37">
        <v>12</v>
      </c>
      <c r="L17" s="37">
        <v>12</v>
      </c>
      <c r="M17" s="183">
        <v>1</v>
      </c>
      <c r="N17" s="292"/>
      <c r="O17" s="187">
        <v>12</v>
      </c>
      <c r="P17" s="303" t="str">
        <f t="shared" si="18"/>
        <v>異径</v>
      </c>
      <c r="Q17" s="300">
        <f t="shared" si="18"/>
        <v>0</v>
      </c>
      <c r="R17" s="301">
        <f t="shared" si="18"/>
        <v>25</v>
      </c>
      <c r="S17" s="199">
        <f t="shared" si="18"/>
        <v>0</v>
      </c>
      <c r="T17" s="302">
        <f t="shared" si="18"/>
        <v>12</v>
      </c>
      <c r="U17" s="199">
        <f t="shared" si="19"/>
        <v>4</v>
      </c>
      <c r="V17" s="277">
        <f t="shared" si="1"/>
        <v>0.2</v>
      </c>
      <c r="W17" s="255">
        <f t="shared" si="2"/>
        <v>0.8</v>
      </c>
      <c r="X17" s="255" t="str">
        <f t="shared" si="3"/>
        <v>0.50</v>
      </c>
      <c r="Y17" s="278">
        <f t="shared" si="20"/>
        <v>131</v>
      </c>
      <c r="Z17" s="256">
        <f t="shared" si="4"/>
        <v>7.0000000000000007E-2</v>
      </c>
      <c r="AA17" s="187" t="str">
        <f t="shared" si="5"/>
        <v>ok</v>
      </c>
      <c r="AB17" s="38">
        <f t="shared" si="6"/>
        <v>0.5</v>
      </c>
      <c r="AC17" s="38" t="str">
        <f t="shared" si="21"/>
        <v>0.50</v>
      </c>
      <c r="AD17" s="38">
        <f t="shared" si="7"/>
        <v>0.5</v>
      </c>
      <c r="AE17" s="202">
        <f t="shared" si="8"/>
        <v>1.6</v>
      </c>
      <c r="AF17" s="203">
        <f t="shared" si="9"/>
        <v>131</v>
      </c>
      <c r="AG17" s="203">
        <f t="shared" si="9"/>
        <v>211</v>
      </c>
      <c r="AH17" s="204">
        <v>110</v>
      </c>
      <c r="AI17" s="205">
        <f t="shared" si="24"/>
        <v>8.0000000000000004E-4</v>
      </c>
      <c r="AJ17" s="206">
        <f t="shared" si="10"/>
        <v>48</v>
      </c>
      <c r="AK17" s="207">
        <f t="shared" si="11"/>
        <v>4.9087385212340522E-4</v>
      </c>
      <c r="AL17" s="205">
        <f t="shared" si="22"/>
        <v>1.6297466172610082</v>
      </c>
      <c r="AM17" s="202">
        <f t="shared" si="12"/>
        <v>130.59906442870553</v>
      </c>
      <c r="AN17" s="208">
        <f t="shared" si="13"/>
        <v>210.94719045178238</v>
      </c>
      <c r="AO17" s="203">
        <f t="shared" si="14"/>
        <v>25</v>
      </c>
      <c r="AP17" s="203">
        <f t="shared" si="15"/>
        <v>25</v>
      </c>
      <c r="AQ17" s="208">
        <f t="shared" si="16"/>
        <v>0</v>
      </c>
      <c r="AR17" s="208">
        <f t="shared" si="17"/>
        <v>0</v>
      </c>
      <c r="AS17" s="208">
        <f t="shared" si="23"/>
        <v>0</v>
      </c>
      <c r="AT17" s="208">
        <f t="shared" si="23"/>
        <v>0</v>
      </c>
      <c r="AU17" s="187"/>
    </row>
    <row r="18" spans="1:48" ht="14.25" customHeight="1" x14ac:dyDescent="0.15">
      <c r="A18" s="187"/>
      <c r="B18" s="223">
        <v>14</v>
      </c>
      <c r="C18" s="283" t="s">
        <v>588</v>
      </c>
      <c r="D18" s="227"/>
      <c r="E18" s="187"/>
      <c r="F18" s="290">
        <v>5</v>
      </c>
      <c r="G18" s="298" t="str">
        <f t="shared" si="0"/>
        <v>甲乙丙</v>
      </c>
      <c r="H18" s="167"/>
      <c r="I18" s="166">
        <v>25</v>
      </c>
      <c r="J18" s="39"/>
      <c r="K18" s="37">
        <v>12</v>
      </c>
      <c r="L18" s="37">
        <v>12</v>
      </c>
      <c r="M18" s="183">
        <v>1</v>
      </c>
      <c r="N18" s="292"/>
      <c r="O18" s="187">
        <v>13</v>
      </c>
      <c r="P18" s="303" t="str">
        <f t="shared" si="18"/>
        <v>甲乙丙</v>
      </c>
      <c r="Q18" s="300">
        <f t="shared" si="18"/>
        <v>0</v>
      </c>
      <c r="R18" s="301">
        <f t="shared" si="18"/>
        <v>25</v>
      </c>
      <c r="S18" s="199">
        <f t="shared" si="18"/>
        <v>0</v>
      </c>
      <c r="T18" s="302">
        <f t="shared" si="18"/>
        <v>12</v>
      </c>
      <c r="U18" s="199">
        <f t="shared" si="19"/>
        <v>4</v>
      </c>
      <c r="V18" s="277">
        <f t="shared" si="1"/>
        <v>0.2</v>
      </c>
      <c r="W18" s="255">
        <f t="shared" si="2"/>
        <v>0.8</v>
      </c>
      <c r="X18" s="255" t="str">
        <f t="shared" si="3"/>
        <v>0.18</v>
      </c>
      <c r="Y18" s="278">
        <f t="shared" si="20"/>
        <v>131</v>
      </c>
      <c r="Z18" s="256">
        <f t="shared" si="4"/>
        <v>0.02</v>
      </c>
      <c r="AA18" s="187" t="str">
        <f t="shared" si="5"/>
        <v>ok</v>
      </c>
      <c r="AB18" s="38">
        <f t="shared" si="6"/>
        <v>0.18</v>
      </c>
      <c r="AC18" s="38" t="str">
        <f t="shared" si="21"/>
        <v>0.18</v>
      </c>
      <c r="AD18" s="38">
        <f t="shared" si="7"/>
        <v>0.18</v>
      </c>
      <c r="AE18" s="202">
        <f t="shared" si="8"/>
        <v>1.6</v>
      </c>
      <c r="AF18" s="203">
        <f t="shared" si="9"/>
        <v>131</v>
      </c>
      <c r="AG18" s="203">
        <f t="shared" si="9"/>
        <v>211</v>
      </c>
      <c r="AH18" s="204">
        <v>110</v>
      </c>
      <c r="AI18" s="205">
        <f t="shared" si="24"/>
        <v>8.0000000000000004E-4</v>
      </c>
      <c r="AJ18" s="206">
        <f t="shared" si="10"/>
        <v>48</v>
      </c>
      <c r="AK18" s="207">
        <f t="shared" si="11"/>
        <v>4.9087385212340522E-4</v>
      </c>
      <c r="AL18" s="205">
        <f t="shared" si="22"/>
        <v>1.6297466172610082</v>
      </c>
      <c r="AM18" s="202">
        <f t="shared" si="12"/>
        <v>130.59906442870553</v>
      </c>
      <c r="AN18" s="208">
        <f t="shared" si="13"/>
        <v>210.94719045178238</v>
      </c>
      <c r="AO18" s="203">
        <f t="shared" si="14"/>
        <v>25</v>
      </c>
      <c r="AP18" s="203">
        <f t="shared" si="15"/>
        <v>25</v>
      </c>
      <c r="AQ18" s="208">
        <f t="shared" si="16"/>
        <v>0</v>
      </c>
      <c r="AR18" s="208">
        <f t="shared" si="17"/>
        <v>0</v>
      </c>
      <c r="AS18" s="208">
        <f t="shared" si="23"/>
        <v>0</v>
      </c>
      <c r="AT18" s="208">
        <f t="shared" si="23"/>
        <v>0</v>
      </c>
      <c r="AU18" s="187"/>
    </row>
    <row r="19" spans="1:48" ht="14.25" customHeight="1" x14ac:dyDescent="0.15">
      <c r="A19" s="187"/>
      <c r="B19" s="223">
        <v>15</v>
      </c>
      <c r="C19" s="284" t="s">
        <v>590</v>
      </c>
      <c r="D19" s="227">
        <v>7.2</v>
      </c>
      <c r="E19" s="187"/>
      <c r="F19" s="290">
        <v>6</v>
      </c>
      <c r="G19" s="298" t="str">
        <f t="shared" si="0"/>
        <v>メーター</v>
      </c>
      <c r="H19" s="167"/>
      <c r="I19" s="166">
        <v>25</v>
      </c>
      <c r="J19" s="39"/>
      <c r="K19" s="37">
        <v>12</v>
      </c>
      <c r="L19" s="37">
        <v>12</v>
      </c>
      <c r="M19" s="183">
        <v>1</v>
      </c>
      <c r="N19" s="292"/>
      <c r="O19" s="187">
        <v>14</v>
      </c>
      <c r="P19" s="303" t="str">
        <f t="shared" si="18"/>
        <v>メーター</v>
      </c>
      <c r="Q19" s="300">
        <f t="shared" si="18"/>
        <v>0</v>
      </c>
      <c r="R19" s="301">
        <f t="shared" si="18"/>
        <v>25</v>
      </c>
      <c r="S19" s="199">
        <f t="shared" si="18"/>
        <v>0</v>
      </c>
      <c r="T19" s="302">
        <f t="shared" si="18"/>
        <v>12</v>
      </c>
      <c r="U19" s="199">
        <f t="shared" si="19"/>
        <v>4</v>
      </c>
      <c r="V19" s="277">
        <f t="shared" si="1"/>
        <v>0.2</v>
      </c>
      <c r="W19" s="255">
        <f t="shared" si="2"/>
        <v>0.8</v>
      </c>
      <c r="X19" s="255" t="str">
        <f t="shared" si="3"/>
        <v>12.00</v>
      </c>
      <c r="Y19" s="278">
        <f t="shared" si="20"/>
        <v>131</v>
      </c>
      <c r="Z19" s="256">
        <f t="shared" si="4"/>
        <v>1.57</v>
      </c>
      <c r="AA19" s="187" t="str">
        <f t="shared" si="5"/>
        <v>ok</v>
      </c>
      <c r="AB19" s="38">
        <f t="shared" si="6"/>
        <v>12</v>
      </c>
      <c r="AC19" s="38" t="str">
        <f t="shared" si="21"/>
        <v>12.00</v>
      </c>
      <c r="AD19" s="38">
        <f t="shared" si="7"/>
        <v>12</v>
      </c>
      <c r="AE19" s="202">
        <f t="shared" si="8"/>
        <v>1.6</v>
      </c>
      <c r="AF19" s="203">
        <f t="shared" si="9"/>
        <v>131</v>
      </c>
      <c r="AG19" s="203">
        <f t="shared" si="9"/>
        <v>211</v>
      </c>
      <c r="AH19" s="204">
        <v>110</v>
      </c>
      <c r="AI19" s="205">
        <f t="shared" si="24"/>
        <v>8.0000000000000004E-4</v>
      </c>
      <c r="AJ19" s="206">
        <f t="shared" si="10"/>
        <v>48</v>
      </c>
      <c r="AK19" s="207">
        <f t="shared" si="11"/>
        <v>4.9087385212340522E-4</v>
      </c>
      <c r="AL19" s="205">
        <f t="shared" si="22"/>
        <v>1.6297466172610082</v>
      </c>
      <c r="AM19" s="202">
        <f t="shared" si="12"/>
        <v>130.59906442870553</v>
      </c>
      <c r="AN19" s="208">
        <f t="shared" si="13"/>
        <v>210.94719045178238</v>
      </c>
      <c r="AO19" s="203">
        <f t="shared" si="14"/>
        <v>25</v>
      </c>
      <c r="AP19" s="203">
        <f t="shared" si="15"/>
        <v>25</v>
      </c>
      <c r="AQ19" s="208">
        <f t="shared" si="16"/>
        <v>0</v>
      </c>
      <c r="AR19" s="208">
        <f t="shared" si="17"/>
        <v>0</v>
      </c>
      <c r="AS19" s="208">
        <f t="shared" si="23"/>
        <v>0</v>
      </c>
      <c r="AT19" s="208">
        <f t="shared" si="23"/>
        <v>0</v>
      </c>
      <c r="AU19" s="187"/>
    </row>
    <row r="20" spans="1:48" ht="14.25" customHeight="1" x14ac:dyDescent="0.15">
      <c r="A20" s="187"/>
      <c r="B20" s="223">
        <v>16</v>
      </c>
      <c r="C20" s="284" t="s">
        <v>591</v>
      </c>
      <c r="D20" s="227">
        <v>0.5</v>
      </c>
      <c r="E20" s="187"/>
      <c r="F20" s="290">
        <v>7</v>
      </c>
      <c r="G20" s="298" t="str">
        <f t="shared" si="0"/>
        <v>逆止弁</v>
      </c>
      <c r="H20" s="167"/>
      <c r="I20" s="166">
        <v>25</v>
      </c>
      <c r="J20" s="39"/>
      <c r="K20" s="37">
        <v>12</v>
      </c>
      <c r="L20" s="37">
        <v>12</v>
      </c>
      <c r="M20" s="183">
        <v>1</v>
      </c>
      <c r="N20" s="292"/>
      <c r="O20" s="187">
        <v>15</v>
      </c>
      <c r="P20" s="303" t="str">
        <f t="shared" si="18"/>
        <v>逆止弁</v>
      </c>
      <c r="Q20" s="300">
        <f t="shared" si="18"/>
        <v>0</v>
      </c>
      <c r="R20" s="301">
        <f t="shared" si="18"/>
        <v>25</v>
      </c>
      <c r="S20" s="199">
        <f t="shared" si="18"/>
        <v>0</v>
      </c>
      <c r="T20" s="302">
        <f t="shared" si="18"/>
        <v>12</v>
      </c>
      <c r="U20" s="199">
        <f t="shared" si="19"/>
        <v>4</v>
      </c>
      <c r="V20" s="277">
        <f t="shared" si="1"/>
        <v>0.2</v>
      </c>
      <c r="W20" s="255">
        <f t="shared" si="2"/>
        <v>0.8</v>
      </c>
      <c r="X20" s="255" t="str">
        <f t="shared" si="3"/>
        <v>6.00</v>
      </c>
      <c r="Y20" s="278">
        <f t="shared" si="20"/>
        <v>131</v>
      </c>
      <c r="Z20" s="256">
        <f t="shared" si="4"/>
        <v>0.79</v>
      </c>
      <c r="AA20" s="187" t="str">
        <f t="shared" si="5"/>
        <v>ok</v>
      </c>
      <c r="AB20" s="38">
        <f t="shared" si="6"/>
        <v>6</v>
      </c>
      <c r="AC20" s="38" t="str">
        <f t="shared" si="21"/>
        <v>6.00</v>
      </c>
      <c r="AD20" s="38">
        <f t="shared" si="7"/>
        <v>6</v>
      </c>
      <c r="AE20" s="202">
        <f t="shared" si="8"/>
        <v>1.6</v>
      </c>
      <c r="AF20" s="203">
        <f t="shared" si="9"/>
        <v>131</v>
      </c>
      <c r="AG20" s="203">
        <f t="shared" si="9"/>
        <v>211</v>
      </c>
      <c r="AH20" s="204">
        <v>110</v>
      </c>
      <c r="AI20" s="205">
        <f t="shared" si="24"/>
        <v>8.0000000000000004E-4</v>
      </c>
      <c r="AJ20" s="206">
        <f t="shared" si="10"/>
        <v>48</v>
      </c>
      <c r="AK20" s="207">
        <f t="shared" si="11"/>
        <v>4.9087385212340522E-4</v>
      </c>
      <c r="AL20" s="205">
        <f t="shared" si="22"/>
        <v>1.6297466172610082</v>
      </c>
      <c r="AM20" s="202">
        <f t="shared" si="12"/>
        <v>130.59906442870553</v>
      </c>
      <c r="AN20" s="208">
        <f t="shared" si="13"/>
        <v>210.94719045178238</v>
      </c>
      <c r="AO20" s="203">
        <f t="shared" si="14"/>
        <v>25</v>
      </c>
      <c r="AP20" s="203">
        <f t="shared" si="15"/>
        <v>25</v>
      </c>
      <c r="AQ20" s="208">
        <f t="shared" si="16"/>
        <v>0</v>
      </c>
      <c r="AR20" s="208">
        <f t="shared" si="17"/>
        <v>0</v>
      </c>
      <c r="AS20" s="208">
        <f t="shared" si="23"/>
        <v>0</v>
      </c>
      <c r="AT20" s="208">
        <f t="shared" si="23"/>
        <v>0</v>
      </c>
      <c r="AU20" s="187"/>
    </row>
    <row r="21" spans="1:48" ht="14.25" customHeight="1" x14ac:dyDescent="0.15">
      <c r="A21" s="187"/>
      <c r="B21" s="223">
        <v>17</v>
      </c>
      <c r="C21" s="284" t="s">
        <v>592</v>
      </c>
      <c r="D21" s="227">
        <v>0.5</v>
      </c>
      <c r="E21" s="187"/>
      <c r="F21" s="290">
        <v>9</v>
      </c>
      <c r="G21" s="298" t="str">
        <f t="shared" si="0"/>
        <v>水抜栓</v>
      </c>
      <c r="H21" s="167"/>
      <c r="I21" s="166">
        <v>25</v>
      </c>
      <c r="J21" s="39"/>
      <c r="K21" s="37">
        <v>12</v>
      </c>
      <c r="L21" s="37">
        <v>12</v>
      </c>
      <c r="M21" s="183">
        <v>1</v>
      </c>
      <c r="N21" s="292"/>
      <c r="O21" s="187">
        <v>16</v>
      </c>
      <c r="P21" s="303" t="str">
        <f t="shared" si="18"/>
        <v>水抜栓</v>
      </c>
      <c r="Q21" s="300">
        <f t="shared" si="18"/>
        <v>0</v>
      </c>
      <c r="R21" s="301">
        <f t="shared" si="18"/>
        <v>25</v>
      </c>
      <c r="S21" s="199">
        <f t="shared" si="18"/>
        <v>0</v>
      </c>
      <c r="T21" s="302">
        <f t="shared" si="18"/>
        <v>12</v>
      </c>
      <c r="U21" s="199">
        <f t="shared" si="19"/>
        <v>4</v>
      </c>
      <c r="V21" s="277">
        <f t="shared" si="1"/>
        <v>0.2</v>
      </c>
      <c r="W21" s="255">
        <f t="shared" si="2"/>
        <v>0.8</v>
      </c>
      <c r="X21" s="255" t="str">
        <f t="shared" si="3"/>
        <v>5.00</v>
      </c>
      <c r="Y21" s="278">
        <f t="shared" si="20"/>
        <v>131</v>
      </c>
      <c r="Z21" s="256">
        <f t="shared" si="4"/>
        <v>0.66</v>
      </c>
      <c r="AA21" s="187" t="str">
        <f t="shared" si="5"/>
        <v>ok</v>
      </c>
      <c r="AB21" s="38">
        <f t="shared" si="6"/>
        <v>5</v>
      </c>
      <c r="AC21" s="38" t="str">
        <f t="shared" si="21"/>
        <v>5.00</v>
      </c>
      <c r="AD21" s="38">
        <f t="shared" si="7"/>
        <v>5</v>
      </c>
      <c r="AE21" s="202">
        <f t="shared" si="8"/>
        <v>1.6</v>
      </c>
      <c r="AF21" s="203">
        <f t="shared" si="9"/>
        <v>131</v>
      </c>
      <c r="AG21" s="203">
        <f t="shared" si="9"/>
        <v>211</v>
      </c>
      <c r="AH21" s="204">
        <v>110</v>
      </c>
      <c r="AI21" s="205">
        <f t="shared" si="24"/>
        <v>8.0000000000000004E-4</v>
      </c>
      <c r="AJ21" s="206">
        <f t="shared" si="10"/>
        <v>48</v>
      </c>
      <c r="AK21" s="207">
        <f t="shared" si="11"/>
        <v>4.9087385212340522E-4</v>
      </c>
      <c r="AL21" s="205">
        <f t="shared" si="22"/>
        <v>1.6297466172610082</v>
      </c>
      <c r="AM21" s="202">
        <f t="shared" si="12"/>
        <v>130.59906442870553</v>
      </c>
      <c r="AN21" s="208">
        <f t="shared" si="13"/>
        <v>210.94719045178238</v>
      </c>
      <c r="AO21" s="203">
        <f t="shared" si="14"/>
        <v>25</v>
      </c>
      <c r="AP21" s="203">
        <f t="shared" si="15"/>
        <v>25</v>
      </c>
      <c r="AQ21" s="208">
        <f t="shared" si="16"/>
        <v>0</v>
      </c>
      <c r="AR21" s="208">
        <f t="shared" si="17"/>
        <v>0</v>
      </c>
      <c r="AS21" s="208">
        <f t="shared" si="23"/>
        <v>0</v>
      </c>
      <c r="AT21" s="208">
        <f t="shared" si="23"/>
        <v>0</v>
      </c>
      <c r="AU21" s="187"/>
    </row>
    <row r="22" spans="1:48" ht="14.25" customHeight="1" x14ac:dyDescent="0.15">
      <c r="A22" s="187"/>
      <c r="B22" s="223">
        <v>18</v>
      </c>
      <c r="C22" s="284" t="s">
        <v>593</v>
      </c>
      <c r="D22" s="227">
        <v>3</v>
      </c>
      <c r="E22" s="187"/>
      <c r="F22" s="290">
        <v>24</v>
      </c>
      <c r="G22" s="298" t="str">
        <f t="shared" si="0"/>
        <v>Ｊ～Ｋ</v>
      </c>
      <c r="H22" s="167"/>
      <c r="I22" s="166">
        <v>25</v>
      </c>
      <c r="J22" s="39"/>
      <c r="K22" s="37">
        <v>8</v>
      </c>
      <c r="L22" s="37">
        <v>12</v>
      </c>
      <c r="M22" s="183">
        <v>1</v>
      </c>
      <c r="N22" s="292"/>
      <c r="O22" s="187">
        <v>17</v>
      </c>
      <c r="P22" s="303" t="str">
        <f t="shared" si="18"/>
        <v>Ｊ～Ｋ</v>
      </c>
      <c r="Q22" s="300">
        <f t="shared" si="18"/>
        <v>0</v>
      </c>
      <c r="R22" s="301">
        <f t="shared" si="18"/>
        <v>25</v>
      </c>
      <c r="S22" s="199">
        <f t="shared" si="18"/>
        <v>0</v>
      </c>
      <c r="T22" s="302">
        <f t="shared" si="18"/>
        <v>8</v>
      </c>
      <c r="U22" s="199">
        <f t="shared" si="19"/>
        <v>3</v>
      </c>
      <c r="V22" s="277">
        <f t="shared" si="1"/>
        <v>0.2</v>
      </c>
      <c r="W22" s="255">
        <f t="shared" si="2"/>
        <v>0.6</v>
      </c>
      <c r="X22" s="255" t="str">
        <f t="shared" si="3"/>
        <v>0.30</v>
      </c>
      <c r="Y22" s="278">
        <f t="shared" si="20"/>
        <v>79</v>
      </c>
      <c r="Z22" s="256">
        <f t="shared" si="4"/>
        <v>0.02</v>
      </c>
      <c r="AA22" s="187" t="str">
        <f t="shared" si="5"/>
        <v>ok</v>
      </c>
      <c r="AB22" s="38">
        <f t="shared" si="6"/>
        <v>0.3</v>
      </c>
      <c r="AC22" s="38" t="str">
        <f t="shared" si="21"/>
        <v>0.30</v>
      </c>
      <c r="AD22" s="38">
        <f t="shared" si="7"/>
        <v>0.3</v>
      </c>
      <c r="AE22" s="202">
        <f t="shared" si="8"/>
        <v>1.2</v>
      </c>
      <c r="AF22" s="203">
        <f t="shared" ref="AF22:AG42" si="25">IF(AM22&lt;11,ROUND(AM22,1),ROUND(AM22,0))</f>
        <v>79</v>
      </c>
      <c r="AG22" s="203">
        <f t="shared" si="25"/>
        <v>124</v>
      </c>
      <c r="AH22" s="204">
        <v>110</v>
      </c>
      <c r="AI22" s="205">
        <f t="shared" si="24"/>
        <v>5.9999999999999995E-4</v>
      </c>
      <c r="AJ22" s="206">
        <f t="shared" si="10"/>
        <v>36</v>
      </c>
      <c r="AK22" s="207">
        <f t="shared" si="11"/>
        <v>4.9087385212340522E-4</v>
      </c>
      <c r="AL22" s="205">
        <f t="shared" si="22"/>
        <v>1.2223099629457561</v>
      </c>
      <c r="AM22" s="202">
        <f t="shared" si="12"/>
        <v>78.883262279871076</v>
      </c>
      <c r="AN22" s="208">
        <f t="shared" si="13"/>
        <v>123.89023672524411</v>
      </c>
      <c r="AO22" s="203">
        <f t="shared" si="14"/>
        <v>25</v>
      </c>
      <c r="AP22" s="203">
        <f t="shared" si="15"/>
        <v>25</v>
      </c>
      <c r="AQ22" s="208">
        <f t="shared" si="16"/>
        <v>0</v>
      </c>
      <c r="AR22" s="208">
        <f t="shared" si="17"/>
        <v>0</v>
      </c>
      <c r="AS22" s="208">
        <f t="shared" si="23"/>
        <v>0</v>
      </c>
      <c r="AT22" s="208">
        <f t="shared" si="23"/>
        <v>0</v>
      </c>
      <c r="AU22" s="187"/>
    </row>
    <row r="23" spans="1:48" ht="14.25" customHeight="1" x14ac:dyDescent="0.15">
      <c r="A23" s="187"/>
      <c r="B23" s="223">
        <v>19</v>
      </c>
      <c r="C23" s="284" t="s">
        <v>594</v>
      </c>
      <c r="D23" s="227">
        <v>0.5</v>
      </c>
      <c r="E23" s="187"/>
      <c r="F23" s="290">
        <v>25</v>
      </c>
      <c r="G23" s="298" t="str">
        <f t="shared" si="0"/>
        <v>Ｋ～Ｌ</v>
      </c>
      <c r="H23" s="167"/>
      <c r="I23" s="166">
        <v>25</v>
      </c>
      <c r="J23" s="39"/>
      <c r="K23" s="37">
        <v>5</v>
      </c>
      <c r="L23" s="37">
        <v>12</v>
      </c>
      <c r="M23" s="183">
        <v>1</v>
      </c>
      <c r="N23" s="292"/>
      <c r="O23" s="187">
        <v>18</v>
      </c>
      <c r="P23" s="303" t="str">
        <f t="shared" si="18"/>
        <v>Ｋ～Ｌ</v>
      </c>
      <c r="Q23" s="300">
        <f t="shared" si="18"/>
        <v>0</v>
      </c>
      <c r="R23" s="301">
        <f t="shared" si="18"/>
        <v>25</v>
      </c>
      <c r="S23" s="199">
        <f t="shared" si="18"/>
        <v>0</v>
      </c>
      <c r="T23" s="302">
        <f t="shared" si="18"/>
        <v>5</v>
      </c>
      <c r="U23" s="199">
        <f t="shared" si="19"/>
        <v>2</v>
      </c>
      <c r="V23" s="277">
        <f t="shared" si="1"/>
        <v>0.2</v>
      </c>
      <c r="W23" s="255">
        <f t="shared" si="2"/>
        <v>0.4</v>
      </c>
      <c r="X23" s="255" t="str">
        <f t="shared" si="3"/>
        <v>0.30</v>
      </c>
      <c r="Y23" s="278">
        <f t="shared" si="20"/>
        <v>39</v>
      </c>
      <c r="Z23" s="256">
        <f t="shared" si="4"/>
        <v>0.01</v>
      </c>
      <c r="AA23" s="187" t="str">
        <f t="shared" si="5"/>
        <v>ok</v>
      </c>
      <c r="AB23" s="38">
        <f t="shared" si="6"/>
        <v>0.3</v>
      </c>
      <c r="AC23" s="38" t="str">
        <f t="shared" si="21"/>
        <v>0.30</v>
      </c>
      <c r="AD23" s="38">
        <f t="shared" si="7"/>
        <v>0.3</v>
      </c>
      <c r="AE23" s="202">
        <f t="shared" si="8"/>
        <v>0.8</v>
      </c>
      <c r="AF23" s="203">
        <f t="shared" si="25"/>
        <v>39</v>
      </c>
      <c r="AG23" s="203">
        <f t="shared" si="25"/>
        <v>59</v>
      </c>
      <c r="AH23" s="204">
        <v>110</v>
      </c>
      <c r="AI23" s="205">
        <f t="shared" si="24"/>
        <v>4.0000000000000002E-4</v>
      </c>
      <c r="AJ23" s="206">
        <f t="shared" si="10"/>
        <v>24</v>
      </c>
      <c r="AK23" s="207">
        <f t="shared" si="11"/>
        <v>4.9087385212340522E-4</v>
      </c>
      <c r="AL23" s="205">
        <f t="shared" si="22"/>
        <v>0.81487330863050411</v>
      </c>
      <c r="AM23" s="202">
        <f t="shared" si="12"/>
        <v>39.101144181956741</v>
      </c>
      <c r="AN23" s="208">
        <f t="shared" si="13"/>
        <v>58.515140685944786</v>
      </c>
      <c r="AO23" s="203">
        <f t="shared" si="14"/>
        <v>25</v>
      </c>
      <c r="AP23" s="203">
        <f t="shared" si="15"/>
        <v>25</v>
      </c>
      <c r="AQ23" s="208">
        <f t="shared" si="16"/>
        <v>0</v>
      </c>
      <c r="AR23" s="208">
        <f t="shared" si="17"/>
        <v>0</v>
      </c>
      <c r="AS23" s="208">
        <f t="shared" si="23"/>
        <v>0</v>
      </c>
      <c r="AT23" s="208">
        <f t="shared" si="23"/>
        <v>0</v>
      </c>
      <c r="AU23" s="209"/>
      <c r="AV23" s="210"/>
    </row>
    <row r="24" spans="1:48" ht="14.25" customHeight="1" x14ac:dyDescent="0.15">
      <c r="A24" s="187"/>
      <c r="B24" s="223">
        <v>20</v>
      </c>
      <c r="C24" s="284" t="s">
        <v>595</v>
      </c>
      <c r="D24" s="227">
        <v>0.5</v>
      </c>
      <c r="E24" s="187"/>
      <c r="F24" s="290">
        <v>26</v>
      </c>
      <c r="G24" s="298" t="str">
        <f t="shared" si="0"/>
        <v>Ｌ～Ｍ</v>
      </c>
      <c r="H24" s="167"/>
      <c r="I24" s="166">
        <v>25</v>
      </c>
      <c r="J24" s="39"/>
      <c r="K24" s="37">
        <v>3</v>
      </c>
      <c r="L24" s="37">
        <v>12</v>
      </c>
      <c r="M24" s="183">
        <v>1</v>
      </c>
      <c r="N24" s="292"/>
      <c r="O24" s="187">
        <v>19</v>
      </c>
      <c r="P24" s="303" t="str">
        <f t="shared" si="18"/>
        <v>Ｌ～Ｍ</v>
      </c>
      <c r="Q24" s="300">
        <f t="shared" si="18"/>
        <v>0</v>
      </c>
      <c r="R24" s="301">
        <f t="shared" si="18"/>
        <v>25</v>
      </c>
      <c r="S24" s="199">
        <f t="shared" si="18"/>
        <v>0</v>
      </c>
      <c r="T24" s="302">
        <f t="shared" si="18"/>
        <v>3</v>
      </c>
      <c r="U24" s="199">
        <f t="shared" si="19"/>
        <v>2</v>
      </c>
      <c r="V24" s="277">
        <f t="shared" si="1"/>
        <v>0.2</v>
      </c>
      <c r="W24" s="255">
        <f t="shared" si="2"/>
        <v>0.4</v>
      </c>
      <c r="X24" s="255" t="str">
        <f t="shared" si="3"/>
        <v>22.80</v>
      </c>
      <c r="Y24" s="278">
        <f t="shared" si="20"/>
        <v>39</v>
      </c>
      <c r="Z24" s="256">
        <f t="shared" si="4"/>
        <v>0.89</v>
      </c>
      <c r="AA24" s="187" t="str">
        <f t="shared" si="5"/>
        <v>ok</v>
      </c>
      <c r="AB24" s="38">
        <f t="shared" si="6"/>
        <v>22.8</v>
      </c>
      <c r="AC24" s="38" t="str">
        <f t="shared" si="21"/>
        <v>22.80</v>
      </c>
      <c r="AD24" s="38">
        <f t="shared" si="7"/>
        <v>22.8</v>
      </c>
      <c r="AE24" s="202">
        <f t="shared" si="8"/>
        <v>0.8</v>
      </c>
      <c r="AF24" s="203">
        <f t="shared" si="25"/>
        <v>39</v>
      </c>
      <c r="AG24" s="203">
        <f t="shared" si="25"/>
        <v>59</v>
      </c>
      <c r="AH24" s="204">
        <v>110</v>
      </c>
      <c r="AI24" s="205">
        <f t="shared" si="24"/>
        <v>4.0000000000000002E-4</v>
      </c>
      <c r="AJ24" s="206">
        <f t="shared" si="10"/>
        <v>24</v>
      </c>
      <c r="AK24" s="207">
        <f t="shared" si="11"/>
        <v>4.9087385212340522E-4</v>
      </c>
      <c r="AL24" s="205">
        <f t="shared" si="22"/>
        <v>0.81487330863050411</v>
      </c>
      <c r="AM24" s="202">
        <f t="shared" si="12"/>
        <v>39.101144181956741</v>
      </c>
      <c r="AN24" s="208">
        <f t="shared" si="13"/>
        <v>58.515140685944786</v>
      </c>
      <c r="AO24" s="203">
        <f t="shared" si="14"/>
        <v>25</v>
      </c>
      <c r="AP24" s="203">
        <f t="shared" si="15"/>
        <v>25</v>
      </c>
      <c r="AQ24" s="208">
        <f t="shared" si="16"/>
        <v>0</v>
      </c>
      <c r="AR24" s="208">
        <f t="shared" si="17"/>
        <v>0</v>
      </c>
      <c r="AS24" s="208">
        <f t="shared" si="23"/>
        <v>0</v>
      </c>
      <c r="AT24" s="208">
        <f t="shared" si="23"/>
        <v>0</v>
      </c>
      <c r="AU24" s="187"/>
    </row>
    <row r="25" spans="1:48" ht="14.25" customHeight="1" x14ac:dyDescent="0.15">
      <c r="A25" s="187"/>
      <c r="B25" s="223">
        <v>21</v>
      </c>
      <c r="C25" s="284" t="s">
        <v>596</v>
      </c>
      <c r="D25" s="227">
        <v>3</v>
      </c>
      <c r="E25" s="187"/>
      <c r="F25" s="290">
        <v>8</v>
      </c>
      <c r="G25" s="298" t="str">
        <f t="shared" si="0"/>
        <v>異径</v>
      </c>
      <c r="H25" s="167">
        <v>25</v>
      </c>
      <c r="I25" s="166">
        <v>13</v>
      </c>
      <c r="J25" s="39"/>
      <c r="K25" s="37">
        <v>1</v>
      </c>
      <c r="L25" s="37">
        <v>12</v>
      </c>
      <c r="M25" s="183">
        <v>1</v>
      </c>
      <c r="N25" s="292"/>
      <c r="O25" s="187">
        <v>20</v>
      </c>
      <c r="P25" s="303" t="str">
        <f t="shared" si="18"/>
        <v>異径</v>
      </c>
      <c r="Q25" s="300">
        <f t="shared" si="18"/>
        <v>25</v>
      </c>
      <c r="R25" s="301">
        <f t="shared" si="18"/>
        <v>13</v>
      </c>
      <c r="S25" s="199">
        <f t="shared" si="18"/>
        <v>0</v>
      </c>
      <c r="T25" s="302">
        <f t="shared" si="18"/>
        <v>1</v>
      </c>
      <c r="U25" s="199">
        <f t="shared" si="19"/>
        <v>1</v>
      </c>
      <c r="V25" s="277">
        <f t="shared" si="1"/>
        <v>0.2</v>
      </c>
      <c r="W25" s="255">
        <f t="shared" si="2"/>
        <v>0.2</v>
      </c>
      <c r="X25" s="255" t="str">
        <f t="shared" si="3"/>
        <v>0.50</v>
      </c>
      <c r="Y25" s="278">
        <f t="shared" si="20"/>
        <v>228</v>
      </c>
      <c r="Z25" s="256">
        <f t="shared" si="4"/>
        <v>0.11</v>
      </c>
      <c r="AA25" s="187" t="str">
        <f t="shared" si="5"/>
        <v>ok</v>
      </c>
      <c r="AB25" s="38">
        <f t="shared" si="6"/>
        <v>0.5</v>
      </c>
      <c r="AC25" s="38" t="str">
        <f t="shared" si="21"/>
        <v>0.50</v>
      </c>
      <c r="AD25" s="38">
        <f t="shared" si="7"/>
        <v>0.5</v>
      </c>
      <c r="AE25" s="202">
        <f t="shared" si="8"/>
        <v>1.5</v>
      </c>
      <c r="AF25" s="203">
        <f t="shared" si="25"/>
        <v>228</v>
      </c>
      <c r="AG25" s="203">
        <f t="shared" si="25"/>
        <v>392</v>
      </c>
      <c r="AH25" s="204">
        <v>110</v>
      </c>
      <c r="AI25" s="205">
        <f t="shared" si="24"/>
        <v>2.0000000000000001E-4</v>
      </c>
      <c r="AJ25" s="206">
        <f t="shared" si="10"/>
        <v>12</v>
      </c>
      <c r="AK25" s="207">
        <f t="shared" si="11"/>
        <v>1.3273228961416874E-4</v>
      </c>
      <c r="AL25" s="205">
        <f t="shared" si="22"/>
        <v>1.5067923606333291</v>
      </c>
      <c r="AM25" s="202">
        <f t="shared" si="12"/>
        <v>228.25103272044313</v>
      </c>
      <c r="AN25" s="208">
        <f t="shared" si="13"/>
        <v>392.12675735879611</v>
      </c>
      <c r="AO25" s="203">
        <f t="shared" si="14"/>
        <v>25</v>
      </c>
      <c r="AP25" s="203">
        <f t="shared" si="15"/>
        <v>13</v>
      </c>
      <c r="AQ25" s="208">
        <f t="shared" si="16"/>
        <v>0</v>
      </c>
      <c r="AR25" s="208">
        <f t="shared" si="17"/>
        <v>0</v>
      </c>
      <c r="AS25" s="208">
        <f t="shared" si="23"/>
        <v>0</v>
      </c>
      <c r="AT25" s="208">
        <f t="shared" si="23"/>
        <v>0</v>
      </c>
      <c r="AU25" s="187"/>
    </row>
    <row r="26" spans="1:48" ht="14.25" customHeight="1" x14ac:dyDescent="0.15">
      <c r="A26" s="187"/>
      <c r="B26" s="223">
        <v>22</v>
      </c>
      <c r="C26" s="284" t="s">
        <v>597</v>
      </c>
      <c r="D26" s="227">
        <v>0.5</v>
      </c>
      <c r="E26" s="187"/>
      <c r="F26" s="290">
        <v>27</v>
      </c>
      <c r="G26" s="298" t="str">
        <f t="shared" si="0"/>
        <v>Ｍ～Ｎ</v>
      </c>
      <c r="H26" s="167"/>
      <c r="I26" s="166">
        <v>13</v>
      </c>
      <c r="J26" s="39"/>
      <c r="K26" s="37">
        <v>1</v>
      </c>
      <c r="L26" s="37">
        <v>12</v>
      </c>
      <c r="M26" s="183">
        <v>1</v>
      </c>
      <c r="N26" s="292"/>
      <c r="O26" s="187">
        <v>21</v>
      </c>
      <c r="P26" s="303" t="str">
        <f t="shared" si="18"/>
        <v>Ｍ～Ｎ</v>
      </c>
      <c r="Q26" s="300">
        <f t="shared" si="18"/>
        <v>0</v>
      </c>
      <c r="R26" s="301">
        <f t="shared" si="18"/>
        <v>13</v>
      </c>
      <c r="S26" s="199">
        <f t="shared" si="18"/>
        <v>0</v>
      </c>
      <c r="T26" s="302">
        <f t="shared" si="18"/>
        <v>1</v>
      </c>
      <c r="U26" s="199">
        <f t="shared" si="19"/>
        <v>1</v>
      </c>
      <c r="V26" s="277">
        <f t="shared" si="1"/>
        <v>0.2</v>
      </c>
      <c r="W26" s="255">
        <f t="shared" si="2"/>
        <v>0.2</v>
      </c>
      <c r="X26" s="255" t="str">
        <f t="shared" si="3"/>
        <v>3.50</v>
      </c>
      <c r="Y26" s="278">
        <f t="shared" si="20"/>
        <v>228</v>
      </c>
      <c r="Z26" s="256">
        <f t="shared" si="4"/>
        <v>0.8</v>
      </c>
      <c r="AA26" s="187" t="str">
        <f t="shared" si="5"/>
        <v>ok</v>
      </c>
      <c r="AB26" s="38">
        <f t="shared" si="6"/>
        <v>3.5</v>
      </c>
      <c r="AC26" s="38" t="str">
        <f t="shared" si="21"/>
        <v>3.50</v>
      </c>
      <c r="AD26" s="38">
        <f t="shared" si="7"/>
        <v>3.5</v>
      </c>
      <c r="AE26" s="202">
        <f t="shared" si="8"/>
        <v>1.5</v>
      </c>
      <c r="AF26" s="203">
        <f t="shared" si="25"/>
        <v>228</v>
      </c>
      <c r="AG26" s="203">
        <f t="shared" si="25"/>
        <v>392</v>
      </c>
      <c r="AH26" s="204">
        <v>110</v>
      </c>
      <c r="AI26" s="205">
        <f t="shared" si="24"/>
        <v>2.0000000000000001E-4</v>
      </c>
      <c r="AJ26" s="206">
        <f t="shared" si="10"/>
        <v>12</v>
      </c>
      <c r="AK26" s="207">
        <f t="shared" si="11"/>
        <v>1.3273228961416874E-4</v>
      </c>
      <c r="AL26" s="205">
        <f t="shared" si="22"/>
        <v>1.5067923606333291</v>
      </c>
      <c r="AM26" s="202">
        <f t="shared" si="12"/>
        <v>228.25103272044313</v>
      </c>
      <c r="AN26" s="208">
        <f t="shared" si="13"/>
        <v>392.12675735879611</v>
      </c>
      <c r="AO26" s="203">
        <f t="shared" si="14"/>
        <v>13</v>
      </c>
      <c r="AP26" s="203">
        <f t="shared" si="15"/>
        <v>13</v>
      </c>
      <c r="AQ26" s="208">
        <f t="shared" si="16"/>
        <v>0</v>
      </c>
      <c r="AR26" s="208">
        <f t="shared" si="17"/>
        <v>0</v>
      </c>
      <c r="AS26" s="208">
        <f t="shared" si="23"/>
        <v>0</v>
      </c>
      <c r="AT26" s="208">
        <f t="shared" si="23"/>
        <v>0</v>
      </c>
      <c r="AU26" s="187"/>
    </row>
    <row r="27" spans="1:48" ht="14.25" customHeight="1" x14ac:dyDescent="0.15">
      <c r="A27" s="187"/>
      <c r="B27" s="223">
        <v>23</v>
      </c>
      <c r="C27" s="284" t="s">
        <v>598</v>
      </c>
      <c r="D27" s="227">
        <v>9</v>
      </c>
      <c r="E27" s="187"/>
      <c r="F27" s="290"/>
      <c r="G27" s="298">
        <f t="shared" si="0"/>
        <v>0</v>
      </c>
      <c r="H27" s="167"/>
      <c r="I27" s="166"/>
      <c r="J27" s="39"/>
      <c r="K27" s="37"/>
      <c r="L27" s="37"/>
      <c r="M27" s="183">
        <v>1</v>
      </c>
      <c r="N27" s="292"/>
      <c r="O27" s="187">
        <v>22</v>
      </c>
      <c r="P27" s="303">
        <f t="shared" si="18"/>
        <v>0</v>
      </c>
      <c r="Q27" s="300">
        <f t="shared" si="18"/>
        <v>0</v>
      </c>
      <c r="R27" s="301">
        <f t="shared" si="18"/>
        <v>0</v>
      </c>
      <c r="S27" s="199">
        <f t="shared" si="18"/>
        <v>0</v>
      </c>
      <c r="T27" s="302">
        <f t="shared" si="18"/>
        <v>0</v>
      </c>
      <c r="U27" s="199">
        <f t="shared" si="19"/>
        <v>0</v>
      </c>
      <c r="V27" s="277">
        <f t="shared" si="1"/>
        <v>0</v>
      </c>
      <c r="W27" s="255">
        <f t="shared" si="2"/>
        <v>0</v>
      </c>
      <c r="X27" s="255">
        <f t="shared" si="3"/>
        <v>0</v>
      </c>
      <c r="Y27" s="278">
        <f t="shared" si="20"/>
        <v>0</v>
      </c>
      <c r="Z27" s="256">
        <f t="shared" si="4"/>
        <v>0</v>
      </c>
      <c r="AA27" s="187" t="str">
        <f t="shared" si="5"/>
        <v>ok</v>
      </c>
      <c r="AB27" s="38">
        <f t="shared" si="6"/>
        <v>0</v>
      </c>
      <c r="AC27" s="38">
        <f t="shared" si="21"/>
        <v>0</v>
      </c>
      <c r="AD27" s="38">
        <f t="shared" si="7"/>
        <v>0</v>
      </c>
      <c r="AE27" s="202">
        <f t="shared" si="8"/>
        <v>0</v>
      </c>
      <c r="AF27" s="203">
        <f t="shared" si="25"/>
        <v>0</v>
      </c>
      <c r="AG27" s="203">
        <f t="shared" si="25"/>
        <v>0</v>
      </c>
      <c r="AH27" s="204">
        <v>110</v>
      </c>
      <c r="AI27" s="205">
        <f t="shared" si="24"/>
        <v>0</v>
      </c>
      <c r="AJ27" s="206">
        <f t="shared" si="10"/>
        <v>0</v>
      </c>
      <c r="AK27" s="207">
        <f t="shared" si="11"/>
        <v>0</v>
      </c>
      <c r="AL27" s="205">
        <f t="shared" si="22"/>
        <v>0</v>
      </c>
      <c r="AM27" s="202">
        <f t="shared" si="12"/>
        <v>0</v>
      </c>
      <c r="AN27" s="208">
        <f t="shared" si="13"/>
        <v>0</v>
      </c>
      <c r="AO27" s="203">
        <f t="shared" si="14"/>
        <v>0</v>
      </c>
      <c r="AP27" s="203">
        <f t="shared" si="15"/>
        <v>0</v>
      </c>
      <c r="AQ27" s="208">
        <f t="shared" si="16"/>
        <v>0</v>
      </c>
      <c r="AR27" s="208">
        <f t="shared" si="17"/>
        <v>0</v>
      </c>
      <c r="AS27" s="208">
        <f t="shared" si="23"/>
        <v>0</v>
      </c>
      <c r="AT27" s="208">
        <f t="shared" si="23"/>
        <v>0</v>
      </c>
      <c r="AU27" s="187"/>
    </row>
    <row r="28" spans="1:48" ht="14.25" customHeight="1" x14ac:dyDescent="0.15">
      <c r="A28" s="187"/>
      <c r="B28" s="223">
        <v>24</v>
      </c>
      <c r="C28" s="284" t="s">
        <v>599</v>
      </c>
      <c r="D28" s="227">
        <v>2</v>
      </c>
      <c r="E28" s="187"/>
      <c r="F28" s="290"/>
      <c r="G28" s="298">
        <f t="shared" si="0"/>
        <v>0</v>
      </c>
      <c r="H28" s="167"/>
      <c r="I28" s="166"/>
      <c r="J28" s="39"/>
      <c r="K28" s="37"/>
      <c r="L28" s="37"/>
      <c r="M28" s="183">
        <v>1</v>
      </c>
      <c r="N28" s="292"/>
      <c r="O28" s="187">
        <v>23</v>
      </c>
      <c r="P28" s="303">
        <f t="shared" si="18"/>
        <v>0</v>
      </c>
      <c r="Q28" s="300">
        <f t="shared" si="18"/>
        <v>0</v>
      </c>
      <c r="R28" s="301">
        <f t="shared" si="18"/>
        <v>0</v>
      </c>
      <c r="S28" s="199">
        <f t="shared" si="18"/>
        <v>0</v>
      </c>
      <c r="T28" s="302">
        <f t="shared" si="18"/>
        <v>0</v>
      </c>
      <c r="U28" s="199">
        <f t="shared" si="19"/>
        <v>0</v>
      </c>
      <c r="V28" s="277">
        <f t="shared" si="1"/>
        <v>0</v>
      </c>
      <c r="W28" s="255">
        <f t="shared" si="2"/>
        <v>0</v>
      </c>
      <c r="X28" s="255">
        <f t="shared" si="3"/>
        <v>0</v>
      </c>
      <c r="Y28" s="278">
        <f t="shared" si="20"/>
        <v>0</v>
      </c>
      <c r="Z28" s="256">
        <f t="shared" si="4"/>
        <v>0</v>
      </c>
      <c r="AA28" s="187" t="str">
        <f t="shared" si="5"/>
        <v>ok</v>
      </c>
      <c r="AB28" s="38">
        <f t="shared" si="6"/>
        <v>0</v>
      </c>
      <c r="AC28" s="38">
        <f t="shared" si="21"/>
        <v>0</v>
      </c>
      <c r="AD28" s="38">
        <f t="shared" si="7"/>
        <v>0</v>
      </c>
      <c r="AE28" s="202">
        <f t="shared" si="8"/>
        <v>0</v>
      </c>
      <c r="AF28" s="203">
        <f t="shared" si="25"/>
        <v>0</v>
      </c>
      <c r="AG28" s="203">
        <f t="shared" si="25"/>
        <v>0</v>
      </c>
      <c r="AH28" s="204">
        <v>110</v>
      </c>
      <c r="AI28" s="205">
        <f t="shared" si="24"/>
        <v>0</v>
      </c>
      <c r="AJ28" s="206">
        <f t="shared" si="10"/>
        <v>0</v>
      </c>
      <c r="AK28" s="207">
        <f t="shared" si="11"/>
        <v>0</v>
      </c>
      <c r="AL28" s="205">
        <f t="shared" si="22"/>
        <v>0</v>
      </c>
      <c r="AM28" s="202">
        <f t="shared" si="12"/>
        <v>0</v>
      </c>
      <c r="AN28" s="208">
        <f t="shared" si="13"/>
        <v>0</v>
      </c>
      <c r="AO28" s="203">
        <f t="shared" si="14"/>
        <v>0</v>
      </c>
      <c r="AP28" s="203">
        <f t="shared" si="15"/>
        <v>0</v>
      </c>
      <c r="AQ28" s="208">
        <f t="shared" si="16"/>
        <v>0</v>
      </c>
      <c r="AR28" s="208">
        <f t="shared" si="17"/>
        <v>0</v>
      </c>
      <c r="AS28" s="208">
        <f t="shared" si="23"/>
        <v>0</v>
      </c>
      <c r="AT28" s="208">
        <f t="shared" si="23"/>
        <v>0</v>
      </c>
      <c r="AU28" s="187"/>
    </row>
    <row r="29" spans="1:48" ht="14.25" customHeight="1" x14ac:dyDescent="0.15">
      <c r="A29" s="187"/>
      <c r="B29" s="223">
        <v>25</v>
      </c>
      <c r="C29" s="284" t="s">
        <v>600</v>
      </c>
      <c r="D29" s="227">
        <v>2</v>
      </c>
      <c r="E29" s="187"/>
      <c r="F29" s="290"/>
      <c r="G29" s="298">
        <f t="shared" si="0"/>
        <v>0</v>
      </c>
      <c r="H29" s="167"/>
      <c r="I29" s="166"/>
      <c r="J29" s="39"/>
      <c r="K29" s="37"/>
      <c r="L29" s="37"/>
      <c r="M29" s="183">
        <v>1</v>
      </c>
      <c r="N29" s="292"/>
      <c r="O29" s="187">
        <v>24</v>
      </c>
      <c r="P29" s="303">
        <f t="shared" si="18"/>
        <v>0</v>
      </c>
      <c r="Q29" s="300">
        <f t="shared" si="18"/>
        <v>0</v>
      </c>
      <c r="R29" s="301">
        <f t="shared" si="18"/>
        <v>0</v>
      </c>
      <c r="S29" s="199">
        <f t="shared" si="18"/>
        <v>0</v>
      </c>
      <c r="T29" s="302">
        <f t="shared" si="18"/>
        <v>0</v>
      </c>
      <c r="U29" s="199">
        <f t="shared" si="19"/>
        <v>0</v>
      </c>
      <c r="V29" s="277">
        <f t="shared" si="1"/>
        <v>0</v>
      </c>
      <c r="W29" s="255">
        <f t="shared" si="2"/>
        <v>0</v>
      </c>
      <c r="X29" s="255">
        <f t="shared" si="3"/>
        <v>0</v>
      </c>
      <c r="Y29" s="278">
        <f t="shared" si="20"/>
        <v>0</v>
      </c>
      <c r="Z29" s="256">
        <f t="shared" si="4"/>
        <v>0</v>
      </c>
      <c r="AA29" s="187" t="str">
        <f t="shared" si="5"/>
        <v>ok</v>
      </c>
      <c r="AB29" s="38">
        <f t="shared" si="6"/>
        <v>0</v>
      </c>
      <c r="AC29" s="38">
        <f t="shared" si="21"/>
        <v>0</v>
      </c>
      <c r="AD29" s="38">
        <f t="shared" si="7"/>
        <v>0</v>
      </c>
      <c r="AE29" s="202">
        <f t="shared" si="8"/>
        <v>0</v>
      </c>
      <c r="AF29" s="203">
        <f t="shared" si="25"/>
        <v>0</v>
      </c>
      <c r="AG29" s="203">
        <f t="shared" si="25"/>
        <v>0</v>
      </c>
      <c r="AH29" s="204">
        <v>110</v>
      </c>
      <c r="AI29" s="205">
        <f t="shared" si="24"/>
        <v>0</v>
      </c>
      <c r="AJ29" s="206">
        <f t="shared" si="10"/>
        <v>0</v>
      </c>
      <c r="AK29" s="207">
        <f t="shared" si="11"/>
        <v>0</v>
      </c>
      <c r="AL29" s="205">
        <f t="shared" si="22"/>
        <v>0</v>
      </c>
      <c r="AM29" s="202">
        <f t="shared" si="12"/>
        <v>0</v>
      </c>
      <c r="AN29" s="208">
        <f t="shared" si="13"/>
        <v>0</v>
      </c>
      <c r="AO29" s="203">
        <f t="shared" si="14"/>
        <v>0</v>
      </c>
      <c r="AP29" s="203">
        <f t="shared" si="15"/>
        <v>0</v>
      </c>
      <c r="AQ29" s="208">
        <f t="shared" si="16"/>
        <v>0</v>
      </c>
      <c r="AR29" s="208">
        <f t="shared" si="17"/>
        <v>0</v>
      </c>
      <c r="AS29" s="208">
        <f t="shared" si="23"/>
        <v>0</v>
      </c>
      <c r="AT29" s="208">
        <f t="shared" si="23"/>
        <v>0</v>
      </c>
      <c r="AU29" s="187"/>
    </row>
    <row r="30" spans="1:48" ht="14.25" customHeight="1" x14ac:dyDescent="0.15">
      <c r="A30" s="187"/>
      <c r="B30" s="223">
        <v>26</v>
      </c>
      <c r="C30" s="284" t="s">
        <v>601</v>
      </c>
      <c r="D30" s="227">
        <v>1</v>
      </c>
      <c r="E30" s="187"/>
      <c r="F30" s="290"/>
      <c r="G30" s="298">
        <f t="shared" si="0"/>
        <v>0</v>
      </c>
      <c r="H30" s="167"/>
      <c r="I30" s="166"/>
      <c r="J30" s="39"/>
      <c r="K30" s="37"/>
      <c r="L30" s="37"/>
      <c r="M30" s="183">
        <v>1</v>
      </c>
      <c r="N30" s="292"/>
      <c r="O30" s="187">
        <v>25</v>
      </c>
      <c r="P30" s="303">
        <f t="shared" si="18"/>
        <v>0</v>
      </c>
      <c r="Q30" s="300">
        <f t="shared" si="18"/>
        <v>0</v>
      </c>
      <c r="R30" s="301">
        <f t="shared" si="18"/>
        <v>0</v>
      </c>
      <c r="S30" s="199">
        <f t="shared" si="18"/>
        <v>0</v>
      </c>
      <c r="T30" s="302">
        <f t="shared" si="18"/>
        <v>0</v>
      </c>
      <c r="U30" s="199">
        <f t="shared" si="19"/>
        <v>0</v>
      </c>
      <c r="V30" s="277">
        <f t="shared" si="1"/>
        <v>0</v>
      </c>
      <c r="W30" s="255">
        <f t="shared" si="2"/>
        <v>0</v>
      </c>
      <c r="X30" s="255">
        <f t="shared" si="3"/>
        <v>0</v>
      </c>
      <c r="Y30" s="278">
        <f t="shared" si="20"/>
        <v>0</v>
      </c>
      <c r="Z30" s="256">
        <f t="shared" si="4"/>
        <v>0</v>
      </c>
      <c r="AA30" s="187" t="str">
        <f t="shared" si="5"/>
        <v>ok</v>
      </c>
      <c r="AB30" s="38">
        <f t="shared" si="6"/>
        <v>0</v>
      </c>
      <c r="AC30" s="38">
        <f t="shared" si="21"/>
        <v>0</v>
      </c>
      <c r="AD30" s="38">
        <f t="shared" si="7"/>
        <v>0</v>
      </c>
      <c r="AE30" s="202">
        <f t="shared" si="8"/>
        <v>0</v>
      </c>
      <c r="AF30" s="203">
        <f t="shared" si="25"/>
        <v>0</v>
      </c>
      <c r="AG30" s="203">
        <f t="shared" si="25"/>
        <v>0</v>
      </c>
      <c r="AH30" s="204">
        <v>110</v>
      </c>
      <c r="AI30" s="205">
        <f t="shared" si="24"/>
        <v>0</v>
      </c>
      <c r="AJ30" s="206">
        <f t="shared" si="10"/>
        <v>0</v>
      </c>
      <c r="AK30" s="207">
        <f t="shared" si="11"/>
        <v>0</v>
      </c>
      <c r="AL30" s="205">
        <f t="shared" si="22"/>
        <v>0</v>
      </c>
      <c r="AM30" s="202">
        <f t="shared" si="12"/>
        <v>0</v>
      </c>
      <c r="AN30" s="208">
        <f t="shared" si="13"/>
        <v>0</v>
      </c>
      <c r="AO30" s="203">
        <f t="shared" si="14"/>
        <v>0</v>
      </c>
      <c r="AP30" s="203">
        <f t="shared" si="15"/>
        <v>0</v>
      </c>
      <c r="AQ30" s="208">
        <f t="shared" si="16"/>
        <v>0</v>
      </c>
      <c r="AR30" s="208">
        <f t="shared" si="17"/>
        <v>0</v>
      </c>
      <c r="AS30" s="208">
        <f t="shared" si="23"/>
        <v>0</v>
      </c>
      <c r="AT30" s="208">
        <f t="shared" si="23"/>
        <v>0</v>
      </c>
      <c r="AU30" s="187"/>
    </row>
    <row r="31" spans="1:48" ht="14.25" customHeight="1" x14ac:dyDescent="0.15">
      <c r="A31" s="187"/>
      <c r="B31" s="223">
        <v>27</v>
      </c>
      <c r="C31" s="284" t="s">
        <v>602</v>
      </c>
      <c r="D31" s="227">
        <v>6.5</v>
      </c>
      <c r="E31" s="187"/>
      <c r="F31" s="290"/>
      <c r="G31" s="298">
        <f t="shared" si="0"/>
        <v>0</v>
      </c>
      <c r="H31" s="167"/>
      <c r="I31" s="166"/>
      <c r="J31" s="39"/>
      <c r="K31" s="37"/>
      <c r="L31" s="37"/>
      <c r="M31" s="183">
        <v>1</v>
      </c>
      <c r="N31" s="292"/>
      <c r="O31" s="187">
        <v>26</v>
      </c>
      <c r="P31" s="303">
        <f t="shared" si="18"/>
        <v>0</v>
      </c>
      <c r="Q31" s="300">
        <f t="shared" si="18"/>
        <v>0</v>
      </c>
      <c r="R31" s="301">
        <f t="shared" si="18"/>
        <v>0</v>
      </c>
      <c r="S31" s="199">
        <f t="shared" si="18"/>
        <v>0</v>
      </c>
      <c r="T31" s="302">
        <f t="shared" si="18"/>
        <v>0</v>
      </c>
      <c r="U31" s="199">
        <f t="shared" si="19"/>
        <v>0</v>
      </c>
      <c r="V31" s="277">
        <f t="shared" si="1"/>
        <v>0</v>
      </c>
      <c r="W31" s="255">
        <f t="shared" si="2"/>
        <v>0</v>
      </c>
      <c r="X31" s="255">
        <f t="shared" si="3"/>
        <v>0</v>
      </c>
      <c r="Y31" s="278">
        <f t="shared" si="20"/>
        <v>0</v>
      </c>
      <c r="Z31" s="256">
        <f t="shared" si="4"/>
        <v>0</v>
      </c>
      <c r="AA31" s="187" t="str">
        <f t="shared" si="5"/>
        <v>ok</v>
      </c>
      <c r="AB31" s="38">
        <f t="shared" si="6"/>
        <v>0</v>
      </c>
      <c r="AC31" s="38">
        <f t="shared" si="21"/>
        <v>0</v>
      </c>
      <c r="AD31" s="38">
        <f t="shared" si="7"/>
        <v>0</v>
      </c>
      <c r="AE31" s="202">
        <f t="shared" si="8"/>
        <v>0</v>
      </c>
      <c r="AF31" s="203">
        <f t="shared" si="25"/>
        <v>0</v>
      </c>
      <c r="AG31" s="203">
        <f t="shared" si="25"/>
        <v>0</v>
      </c>
      <c r="AH31" s="204">
        <v>110</v>
      </c>
      <c r="AI31" s="205">
        <f t="shared" si="24"/>
        <v>0</v>
      </c>
      <c r="AJ31" s="206">
        <f t="shared" si="10"/>
        <v>0</v>
      </c>
      <c r="AK31" s="207">
        <f t="shared" si="11"/>
        <v>0</v>
      </c>
      <c r="AL31" s="205">
        <f t="shared" si="22"/>
        <v>0</v>
      </c>
      <c r="AM31" s="202">
        <f t="shared" si="12"/>
        <v>0</v>
      </c>
      <c r="AN31" s="208">
        <f t="shared" si="13"/>
        <v>0</v>
      </c>
      <c r="AO31" s="203">
        <f t="shared" si="14"/>
        <v>0</v>
      </c>
      <c r="AP31" s="203">
        <f t="shared" si="15"/>
        <v>0</v>
      </c>
      <c r="AQ31" s="208">
        <f t="shared" si="16"/>
        <v>0</v>
      </c>
      <c r="AR31" s="208">
        <f t="shared" si="17"/>
        <v>0</v>
      </c>
      <c r="AS31" s="208">
        <f t="shared" si="23"/>
        <v>0</v>
      </c>
      <c r="AT31" s="208">
        <f t="shared" si="23"/>
        <v>0</v>
      </c>
      <c r="AU31" s="187"/>
    </row>
    <row r="32" spans="1:48" ht="14.25" customHeight="1" x14ac:dyDescent="0.15">
      <c r="A32" s="187"/>
      <c r="B32" s="223">
        <v>28</v>
      </c>
      <c r="C32" s="284" t="s">
        <v>603</v>
      </c>
      <c r="D32" s="227"/>
      <c r="E32" s="187"/>
      <c r="F32" s="290"/>
      <c r="G32" s="298">
        <f t="shared" si="0"/>
        <v>0</v>
      </c>
      <c r="H32" s="167"/>
      <c r="I32" s="166"/>
      <c r="J32" s="39"/>
      <c r="K32" s="37"/>
      <c r="L32" s="37"/>
      <c r="M32" s="183">
        <v>1</v>
      </c>
      <c r="N32" s="292"/>
      <c r="O32" s="187">
        <v>27</v>
      </c>
      <c r="P32" s="303">
        <f t="shared" si="18"/>
        <v>0</v>
      </c>
      <c r="Q32" s="300">
        <f t="shared" si="18"/>
        <v>0</v>
      </c>
      <c r="R32" s="301">
        <f t="shared" si="18"/>
        <v>0</v>
      </c>
      <c r="S32" s="199">
        <f t="shared" si="18"/>
        <v>0</v>
      </c>
      <c r="T32" s="302">
        <f t="shared" si="18"/>
        <v>0</v>
      </c>
      <c r="U32" s="199">
        <f t="shared" si="19"/>
        <v>0</v>
      </c>
      <c r="V32" s="277">
        <f t="shared" si="1"/>
        <v>0</v>
      </c>
      <c r="W32" s="255">
        <f t="shared" si="2"/>
        <v>0</v>
      </c>
      <c r="X32" s="255">
        <f t="shared" si="3"/>
        <v>0</v>
      </c>
      <c r="Y32" s="278">
        <f t="shared" si="20"/>
        <v>0</v>
      </c>
      <c r="Z32" s="256">
        <f t="shared" si="4"/>
        <v>0</v>
      </c>
      <c r="AA32" s="187" t="str">
        <f t="shared" si="5"/>
        <v>ok</v>
      </c>
      <c r="AB32" s="38">
        <f t="shared" si="6"/>
        <v>0</v>
      </c>
      <c r="AC32" s="38">
        <f t="shared" si="21"/>
        <v>0</v>
      </c>
      <c r="AD32" s="38">
        <f t="shared" si="7"/>
        <v>0</v>
      </c>
      <c r="AE32" s="202">
        <f t="shared" si="8"/>
        <v>0</v>
      </c>
      <c r="AF32" s="203">
        <f t="shared" si="25"/>
        <v>0</v>
      </c>
      <c r="AG32" s="203">
        <f t="shared" si="25"/>
        <v>0</v>
      </c>
      <c r="AH32" s="204">
        <v>110</v>
      </c>
      <c r="AI32" s="205">
        <f t="shared" si="24"/>
        <v>0</v>
      </c>
      <c r="AJ32" s="206">
        <f t="shared" si="10"/>
        <v>0</v>
      </c>
      <c r="AK32" s="207">
        <f t="shared" si="11"/>
        <v>0</v>
      </c>
      <c r="AL32" s="205">
        <f t="shared" si="22"/>
        <v>0</v>
      </c>
      <c r="AM32" s="202">
        <f t="shared" si="12"/>
        <v>0</v>
      </c>
      <c r="AN32" s="208">
        <f t="shared" si="13"/>
        <v>0</v>
      </c>
      <c r="AO32" s="203">
        <f t="shared" si="14"/>
        <v>0</v>
      </c>
      <c r="AP32" s="203">
        <f t="shared" si="15"/>
        <v>0</v>
      </c>
      <c r="AQ32" s="208">
        <f t="shared" si="16"/>
        <v>0</v>
      </c>
      <c r="AR32" s="208">
        <f t="shared" si="17"/>
        <v>0</v>
      </c>
      <c r="AS32" s="208">
        <f t="shared" si="23"/>
        <v>0</v>
      </c>
      <c r="AT32" s="208">
        <f t="shared" si="23"/>
        <v>0</v>
      </c>
      <c r="AU32" s="187"/>
    </row>
    <row r="33" spans="1:50" ht="14.25" customHeight="1" x14ac:dyDescent="0.15">
      <c r="A33" s="187"/>
      <c r="B33" s="223">
        <v>29</v>
      </c>
      <c r="C33" s="284" t="s">
        <v>604</v>
      </c>
      <c r="D33" s="227"/>
      <c r="E33" s="187"/>
      <c r="F33" s="290"/>
      <c r="G33" s="298">
        <f t="shared" si="0"/>
        <v>0</v>
      </c>
      <c r="H33" s="167"/>
      <c r="I33" s="166"/>
      <c r="J33" s="39"/>
      <c r="K33" s="37"/>
      <c r="L33" s="37"/>
      <c r="M33" s="183">
        <v>1</v>
      </c>
      <c r="N33" s="292"/>
      <c r="O33" s="187">
        <v>28</v>
      </c>
      <c r="P33" s="303">
        <f t="shared" si="18"/>
        <v>0</v>
      </c>
      <c r="Q33" s="300">
        <f t="shared" si="18"/>
        <v>0</v>
      </c>
      <c r="R33" s="301">
        <f t="shared" si="18"/>
        <v>0</v>
      </c>
      <c r="S33" s="199">
        <f t="shared" si="18"/>
        <v>0</v>
      </c>
      <c r="T33" s="302">
        <f t="shared" si="18"/>
        <v>0</v>
      </c>
      <c r="U33" s="199">
        <f t="shared" si="19"/>
        <v>0</v>
      </c>
      <c r="V33" s="277">
        <f t="shared" si="1"/>
        <v>0</v>
      </c>
      <c r="W33" s="255">
        <f t="shared" si="2"/>
        <v>0</v>
      </c>
      <c r="X33" s="255">
        <f t="shared" si="3"/>
        <v>0</v>
      </c>
      <c r="Y33" s="278">
        <f t="shared" si="20"/>
        <v>0</v>
      </c>
      <c r="Z33" s="256">
        <f t="shared" si="4"/>
        <v>0</v>
      </c>
      <c r="AA33" s="187" t="str">
        <f t="shared" si="5"/>
        <v>ok</v>
      </c>
      <c r="AB33" s="38">
        <f t="shared" si="6"/>
        <v>0</v>
      </c>
      <c r="AC33" s="38">
        <f t="shared" si="21"/>
        <v>0</v>
      </c>
      <c r="AD33" s="38">
        <f t="shared" si="7"/>
        <v>0</v>
      </c>
      <c r="AE33" s="202">
        <f t="shared" si="8"/>
        <v>0</v>
      </c>
      <c r="AF33" s="203">
        <f t="shared" si="25"/>
        <v>0</v>
      </c>
      <c r="AG33" s="203">
        <f t="shared" si="25"/>
        <v>0</v>
      </c>
      <c r="AH33" s="204">
        <v>110</v>
      </c>
      <c r="AI33" s="205">
        <f t="shared" si="24"/>
        <v>0</v>
      </c>
      <c r="AJ33" s="206">
        <f t="shared" si="10"/>
        <v>0</v>
      </c>
      <c r="AK33" s="207">
        <f t="shared" si="11"/>
        <v>0</v>
      </c>
      <c r="AL33" s="205">
        <f t="shared" si="22"/>
        <v>0</v>
      </c>
      <c r="AM33" s="202">
        <f t="shared" si="12"/>
        <v>0</v>
      </c>
      <c r="AN33" s="208">
        <f t="shared" si="13"/>
        <v>0</v>
      </c>
      <c r="AO33" s="203">
        <f t="shared" si="14"/>
        <v>0</v>
      </c>
      <c r="AP33" s="203">
        <f t="shared" si="15"/>
        <v>0</v>
      </c>
      <c r="AQ33" s="208">
        <f t="shared" si="16"/>
        <v>0</v>
      </c>
      <c r="AR33" s="208">
        <f t="shared" si="17"/>
        <v>0</v>
      </c>
      <c r="AS33" s="208">
        <f t="shared" si="23"/>
        <v>0</v>
      </c>
      <c r="AT33" s="208">
        <f t="shared" si="23"/>
        <v>0</v>
      </c>
      <c r="AU33" s="209"/>
      <c r="AV33" s="210"/>
      <c r="AW33" s="210"/>
    </row>
    <row r="34" spans="1:50" ht="14.25" customHeight="1" x14ac:dyDescent="0.15">
      <c r="A34" s="187"/>
      <c r="B34" s="223">
        <v>30</v>
      </c>
      <c r="C34" s="284" t="s">
        <v>605</v>
      </c>
      <c r="D34" s="227"/>
      <c r="E34" s="187"/>
      <c r="F34" s="290"/>
      <c r="G34" s="298">
        <f t="shared" si="0"/>
        <v>0</v>
      </c>
      <c r="H34" s="167"/>
      <c r="I34" s="166"/>
      <c r="J34" s="39"/>
      <c r="K34" s="37"/>
      <c r="L34" s="37"/>
      <c r="M34" s="183">
        <v>1</v>
      </c>
      <c r="N34" s="292"/>
      <c r="O34" s="187">
        <v>29</v>
      </c>
      <c r="P34" s="303">
        <f t="shared" si="18"/>
        <v>0</v>
      </c>
      <c r="Q34" s="300">
        <f t="shared" si="18"/>
        <v>0</v>
      </c>
      <c r="R34" s="301">
        <f t="shared" si="18"/>
        <v>0</v>
      </c>
      <c r="S34" s="199">
        <f t="shared" si="18"/>
        <v>0</v>
      </c>
      <c r="T34" s="302">
        <f t="shared" si="18"/>
        <v>0</v>
      </c>
      <c r="U34" s="199">
        <f t="shared" si="19"/>
        <v>0</v>
      </c>
      <c r="V34" s="277">
        <f t="shared" si="1"/>
        <v>0</v>
      </c>
      <c r="W34" s="255">
        <f t="shared" si="2"/>
        <v>0</v>
      </c>
      <c r="X34" s="255">
        <f t="shared" si="3"/>
        <v>0</v>
      </c>
      <c r="Y34" s="278">
        <f t="shared" si="20"/>
        <v>0</v>
      </c>
      <c r="Z34" s="256">
        <f t="shared" si="4"/>
        <v>0</v>
      </c>
      <c r="AA34" s="187" t="str">
        <f t="shared" si="5"/>
        <v>ok</v>
      </c>
      <c r="AB34" s="38">
        <f t="shared" si="6"/>
        <v>0</v>
      </c>
      <c r="AC34" s="38">
        <f t="shared" si="21"/>
        <v>0</v>
      </c>
      <c r="AD34" s="38">
        <f t="shared" si="7"/>
        <v>0</v>
      </c>
      <c r="AE34" s="202">
        <f t="shared" si="8"/>
        <v>0</v>
      </c>
      <c r="AF34" s="203">
        <f t="shared" si="25"/>
        <v>0</v>
      </c>
      <c r="AG34" s="203">
        <f t="shared" si="25"/>
        <v>0</v>
      </c>
      <c r="AH34" s="204">
        <v>110</v>
      </c>
      <c r="AI34" s="205">
        <f t="shared" si="24"/>
        <v>0</v>
      </c>
      <c r="AJ34" s="206">
        <f t="shared" si="10"/>
        <v>0</v>
      </c>
      <c r="AK34" s="207">
        <f t="shared" si="11"/>
        <v>0</v>
      </c>
      <c r="AL34" s="205">
        <f t="shared" si="22"/>
        <v>0</v>
      </c>
      <c r="AM34" s="202">
        <f t="shared" si="12"/>
        <v>0</v>
      </c>
      <c r="AN34" s="208">
        <f t="shared" si="13"/>
        <v>0</v>
      </c>
      <c r="AO34" s="203">
        <f t="shared" si="14"/>
        <v>0</v>
      </c>
      <c r="AP34" s="203">
        <f t="shared" si="15"/>
        <v>0</v>
      </c>
      <c r="AQ34" s="208">
        <f t="shared" si="16"/>
        <v>0</v>
      </c>
      <c r="AR34" s="208">
        <f t="shared" si="17"/>
        <v>0</v>
      </c>
      <c r="AS34" s="208">
        <f t="shared" si="23"/>
        <v>0</v>
      </c>
      <c r="AT34" s="208">
        <f t="shared" si="23"/>
        <v>0</v>
      </c>
      <c r="AU34" s="209"/>
      <c r="AV34" s="210"/>
      <c r="AW34" s="210"/>
    </row>
    <row r="35" spans="1:50" ht="14.25" customHeight="1" x14ac:dyDescent="0.15">
      <c r="A35" s="187"/>
      <c r="B35" s="223">
        <v>31</v>
      </c>
      <c r="C35" s="284" t="s">
        <v>606</v>
      </c>
      <c r="D35" s="227"/>
      <c r="E35" s="187"/>
      <c r="F35" s="290"/>
      <c r="G35" s="298">
        <f t="shared" si="0"/>
        <v>0</v>
      </c>
      <c r="H35" s="167"/>
      <c r="I35" s="166"/>
      <c r="J35" s="39"/>
      <c r="K35" s="37"/>
      <c r="L35" s="37"/>
      <c r="M35" s="183">
        <v>1</v>
      </c>
      <c r="N35" s="292"/>
      <c r="O35" s="187">
        <v>30</v>
      </c>
      <c r="P35" s="303">
        <f t="shared" si="18"/>
        <v>0</v>
      </c>
      <c r="Q35" s="300">
        <f t="shared" si="18"/>
        <v>0</v>
      </c>
      <c r="R35" s="301">
        <f t="shared" si="18"/>
        <v>0</v>
      </c>
      <c r="S35" s="199">
        <f t="shared" si="18"/>
        <v>0</v>
      </c>
      <c r="T35" s="302">
        <f t="shared" si="18"/>
        <v>0</v>
      </c>
      <c r="U35" s="199">
        <f t="shared" si="19"/>
        <v>0</v>
      </c>
      <c r="V35" s="277">
        <f t="shared" si="1"/>
        <v>0</v>
      </c>
      <c r="W35" s="255">
        <f t="shared" si="2"/>
        <v>0</v>
      </c>
      <c r="X35" s="255">
        <f t="shared" si="3"/>
        <v>0</v>
      </c>
      <c r="Y35" s="278">
        <f t="shared" si="20"/>
        <v>0</v>
      </c>
      <c r="Z35" s="256">
        <f t="shared" si="4"/>
        <v>0</v>
      </c>
      <c r="AA35" s="187" t="str">
        <f t="shared" si="5"/>
        <v>ok</v>
      </c>
      <c r="AB35" s="38">
        <f t="shared" si="6"/>
        <v>0</v>
      </c>
      <c r="AC35" s="38">
        <f t="shared" si="21"/>
        <v>0</v>
      </c>
      <c r="AD35" s="38">
        <f t="shared" si="7"/>
        <v>0</v>
      </c>
      <c r="AE35" s="202">
        <f t="shared" si="8"/>
        <v>0</v>
      </c>
      <c r="AF35" s="203">
        <f t="shared" si="25"/>
        <v>0</v>
      </c>
      <c r="AG35" s="203">
        <f t="shared" si="25"/>
        <v>0</v>
      </c>
      <c r="AH35" s="204">
        <v>110</v>
      </c>
      <c r="AI35" s="205">
        <f t="shared" si="24"/>
        <v>0</v>
      </c>
      <c r="AJ35" s="206">
        <f t="shared" si="10"/>
        <v>0</v>
      </c>
      <c r="AK35" s="207">
        <f t="shared" si="11"/>
        <v>0</v>
      </c>
      <c r="AL35" s="205">
        <f t="shared" si="22"/>
        <v>0</v>
      </c>
      <c r="AM35" s="202">
        <f t="shared" si="12"/>
        <v>0</v>
      </c>
      <c r="AN35" s="208">
        <f t="shared" si="13"/>
        <v>0</v>
      </c>
      <c r="AO35" s="203">
        <f t="shared" si="14"/>
        <v>0</v>
      </c>
      <c r="AP35" s="203">
        <f t="shared" si="15"/>
        <v>0</v>
      </c>
      <c r="AQ35" s="208">
        <f t="shared" si="16"/>
        <v>0</v>
      </c>
      <c r="AR35" s="208">
        <f t="shared" si="17"/>
        <v>0</v>
      </c>
      <c r="AS35" s="208">
        <f t="shared" si="23"/>
        <v>0</v>
      </c>
      <c r="AT35" s="208">
        <f t="shared" si="23"/>
        <v>0</v>
      </c>
      <c r="AU35" s="211"/>
      <c r="AV35" s="212"/>
    </row>
    <row r="36" spans="1:50" ht="14.25" customHeight="1" x14ac:dyDescent="0.15">
      <c r="A36" s="187"/>
      <c r="B36" s="223">
        <v>32</v>
      </c>
      <c r="C36" s="284" t="s">
        <v>607</v>
      </c>
      <c r="D36" s="227"/>
      <c r="E36" s="187"/>
      <c r="F36" s="290"/>
      <c r="G36" s="298">
        <f t="shared" si="0"/>
        <v>0</v>
      </c>
      <c r="H36" s="167"/>
      <c r="I36" s="166"/>
      <c r="J36" s="39"/>
      <c r="K36" s="37"/>
      <c r="L36" s="37"/>
      <c r="M36" s="183">
        <v>1</v>
      </c>
      <c r="N36" s="292"/>
      <c r="O36" s="187">
        <v>31</v>
      </c>
      <c r="P36" s="303">
        <f t="shared" si="18"/>
        <v>0</v>
      </c>
      <c r="Q36" s="300">
        <f t="shared" si="18"/>
        <v>0</v>
      </c>
      <c r="R36" s="301">
        <f t="shared" si="18"/>
        <v>0</v>
      </c>
      <c r="S36" s="199">
        <f t="shared" si="18"/>
        <v>0</v>
      </c>
      <c r="T36" s="302">
        <f t="shared" si="18"/>
        <v>0</v>
      </c>
      <c r="U36" s="199">
        <f t="shared" si="19"/>
        <v>0</v>
      </c>
      <c r="V36" s="277">
        <f t="shared" si="1"/>
        <v>0</v>
      </c>
      <c r="W36" s="255">
        <f t="shared" si="2"/>
        <v>0</v>
      </c>
      <c r="X36" s="255">
        <f t="shared" si="3"/>
        <v>0</v>
      </c>
      <c r="Y36" s="278">
        <f t="shared" si="20"/>
        <v>0</v>
      </c>
      <c r="Z36" s="256">
        <f t="shared" si="4"/>
        <v>0</v>
      </c>
      <c r="AA36" s="187" t="str">
        <f t="shared" si="5"/>
        <v>ok</v>
      </c>
      <c r="AB36" s="38">
        <f t="shared" si="6"/>
        <v>0</v>
      </c>
      <c r="AC36" s="38">
        <f t="shared" si="21"/>
        <v>0</v>
      </c>
      <c r="AD36" s="38">
        <f t="shared" si="7"/>
        <v>0</v>
      </c>
      <c r="AE36" s="202">
        <f t="shared" si="8"/>
        <v>0</v>
      </c>
      <c r="AF36" s="203">
        <f t="shared" si="25"/>
        <v>0</v>
      </c>
      <c r="AG36" s="203">
        <f t="shared" si="25"/>
        <v>0</v>
      </c>
      <c r="AH36" s="204">
        <v>110</v>
      </c>
      <c r="AI36" s="205">
        <f t="shared" si="24"/>
        <v>0</v>
      </c>
      <c r="AJ36" s="206">
        <f t="shared" si="10"/>
        <v>0</v>
      </c>
      <c r="AK36" s="207">
        <f t="shared" si="11"/>
        <v>0</v>
      </c>
      <c r="AL36" s="205">
        <f t="shared" si="22"/>
        <v>0</v>
      </c>
      <c r="AM36" s="202">
        <f t="shared" si="12"/>
        <v>0</v>
      </c>
      <c r="AN36" s="208">
        <f t="shared" si="13"/>
        <v>0</v>
      </c>
      <c r="AO36" s="203">
        <f t="shared" si="14"/>
        <v>0</v>
      </c>
      <c r="AP36" s="203">
        <f t="shared" si="15"/>
        <v>0</v>
      </c>
      <c r="AQ36" s="208">
        <f t="shared" si="16"/>
        <v>0</v>
      </c>
      <c r="AR36" s="208">
        <f t="shared" si="17"/>
        <v>0</v>
      </c>
      <c r="AS36" s="208">
        <f t="shared" si="23"/>
        <v>0</v>
      </c>
      <c r="AT36" s="208">
        <f t="shared" si="23"/>
        <v>0</v>
      </c>
      <c r="AU36" s="213"/>
      <c r="AV36" s="214"/>
    </row>
    <row r="37" spans="1:50" ht="14.25" customHeight="1" x14ac:dyDescent="0.15">
      <c r="A37" s="187"/>
      <c r="B37" s="223">
        <v>33</v>
      </c>
      <c r="C37" s="284" t="s">
        <v>608</v>
      </c>
      <c r="D37" s="227"/>
      <c r="E37" s="187"/>
      <c r="F37" s="290"/>
      <c r="G37" s="298">
        <f t="shared" si="0"/>
        <v>0</v>
      </c>
      <c r="H37" s="167"/>
      <c r="I37" s="166"/>
      <c r="J37" s="39"/>
      <c r="K37" s="37"/>
      <c r="L37" s="37"/>
      <c r="M37" s="183">
        <v>1</v>
      </c>
      <c r="N37" s="292"/>
      <c r="O37" s="187">
        <v>32</v>
      </c>
      <c r="P37" s="303">
        <f t="shared" si="18"/>
        <v>0</v>
      </c>
      <c r="Q37" s="300">
        <f t="shared" si="18"/>
        <v>0</v>
      </c>
      <c r="R37" s="301">
        <f t="shared" si="18"/>
        <v>0</v>
      </c>
      <c r="S37" s="199">
        <f t="shared" si="18"/>
        <v>0</v>
      </c>
      <c r="T37" s="302">
        <f t="shared" si="18"/>
        <v>0</v>
      </c>
      <c r="U37" s="199">
        <f t="shared" si="19"/>
        <v>0</v>
      </c>
      <c r="V37" s="277">
        <f t="shared" si="1"/>
        <v>0</v>
      </c>
      <c r="W37" s="255">
        <f t="shared" si="2"/>
        <v>0</v>
      </c>
      <c r="X37" s="255">
        <f t="shared" si="3"/>
        <v>0</v>
      </c>
      <c r="Y37" s="278">
        <f t="shared" si="20"/>
        <v>0</v>
      </c>
      <c r="Z37" s="256">
        <f t="shared" si="4"/>
        <v>0</v>
      </c>
      <c r="AA37" s="187" t="str">
        <f t="shared" si="5"/>
        <v>ok</v>
      </c>
      <c r="AB37" s="38">
        <f t="shared" si="6"/>
        <v>0</v>
      </c>
      <c r="AC37" s="38">
        <f t="shared" si="21"/>
        <v>0</v>
      </c>
      <c r="AD37" s="38">
        <f t="shared" si="7"/>
        <v>0</v>
      </c>
      <c r="AE37" s="202">
        <f t="shared" si="8"/>
        <v>0</v>
      </c>
      <c r="AF37" s="203">
        <f t="shared" si="25"/>
        <v>0</v>
      </c>
      <c r="AG37" s="203">
        <f t="shared" si="25"/>
        <v>0</v>
      </c>
      <c r="AH37" s="204">
        <v>110</v>
      </c>
      <c r="AI37" s="205">
        <f t="shared" si="24"/>
        <v>0</v>
      </c>
      <c r="AJ37" s="206">
        <f t="shared" si="10"/>
        <v>0</v>
      </c>
      <c r="AK37" s="207">
        <f t="shared" si="11"/>
        <v>0</v>
      </c>
      <c r="AL37" s="205">
        <f t="shared" si="22"/>
        <v>0</v>
      </c>
      <c r="AM37" s="202">
        <f t="shared" si="12"/>
        <v>0</v>
      </c>
      <c r="AN37" s="208">
        <f t="shared" si="13"/>
        <v>0</v>
      </c>
      <c r="AO37" s="203">
        <f t="shared" si="14"/>
        <v>0</v>
      </c>
      <c r="AP37" s="203">
        <f t="shared" si="15"/>
        <v>0</v>
      </c>
      <c r="AQ37" s="208">
        <f t="shared" si="16"/>
        <v>0</v>
      </c>
      <c r="AR37" s="208">
        <f t="shared" si="17"/>
        <v>0</v>
      </c>
      <c r="AS37" s="208">
        <f t="shared" si="23"/>
        <v>0</v>
      </c>
      <c r="AT37" s="208">
        <f t="shared" si="23"/>
        <v>0</v>
      </c>
      <c r="AU37" s="213"/>
      <c r="AV37" s="214"/>
    </row>
    <row r="38" spans="1:50" ht="14.25" customHeight="1" x14ac:dyDescent="0.15">
      <c r="A38" s="187"/>
      <c r="B38" s="223">
        <v>34</v>
      </c>
      <c r="C38" s="284" t="s">
        <v>609</v>
      </c>
      <c r="D38" s="227"/>
      <c r="E38" s="187"/>
      <c r="F38" s="290"/>
      <c r="G38" s="298">
        <f t="shared" si="0"/>
        <v>0</v>
      </c>
      <c r="H38" s="167"/>
      <c r="I38" s="166"/>
      <c r="J38" s="39"/>
      <c r="K38" s="37"/>
      <c r="L38" s="37"/>
      <c r="M38" s="183">
        <v>1</v>
      </c>
      <c r="N38" s="292"/>
      <c r="O38" s="187">
        <v>33</v>
      </c>
      <c r="P38" s="303">
        <f t="shared" si="18"/>
        <v>0</v>
      </c>
      <c r="Q38" s="300">
        <f t="shared" si="18"/>
        <v>0</v>
      </c>
      <c r="R38" s="301">
        <f t="shared" si="18"/>
        <v>0</v>
      </c>
      <c r="S38" s="199">
        <f t="shared" si="18"/>
        <v>0</v>
      </c>
      <c r="T38" s="302">
        <f t="shared" si="18"/>
        <v>0</v>
      </c>
      <c r="U38" s="199">
        <f t="shared" si="19"/>
        <v>0</v>
      </c>
      <c r="V38" s="277">
        <f t="shared" si="1"/>
        <v>0</v>
      </c>
      <c r="W38" s="255">
        <f t="shared" si="2"/>
        <v>0</v>
      </c>
      <c r="X38" s="255">
        <f t="shared" si="3"/>
        <v>0</v>
      </c>
      <c r="Y38" s="278">
        <f t="shared" si="20"/>
        <v>0</v>
      </c>
      <c r="Z38" s="256">
        <f t="shared" si="4"/>
        <v>0</v>
      </c>
      <c r="AA38" s="187" t="str">
        <f t="shared" si="5"/>
        <v>ok</v>
      </c>
      <c r="AB38" s="38">
        <f t="shared" si="6"/>
        <v>0</v>
      </c>
      <c r="AC38" s="38">
        <f t="shared" si="21"/>
        <v>0</v>
      </c>
      <c r="AD38" s="38">
        <f t="shared" si="7"/>
        <v>0</v>
      </c>
      <c r="AE38" s="202">
        <f t="shared" si="8"/>
        <v>0</v>
      </c>
      <c r="AF38" s="203">
        <f t="shared" si="25"/>
        <v>0</v>
      </c>
      <c r="AG38" s="203">
        <f t="shared" si="25"/>
        <v>0</v>
      </c>
      <c r="AH38" s="204">
        <v>110</v>
      </c>
      <c r="AI38" s="205">
        <f t="shared" si="24"/>
        <v>0</v>
      </c>
      <c r="AJ38" s="206">
        <f t="shared" si="10"/>
        <v>0</v>
      </c>
      <c r="AK38" s="207">
        <f t="shared" si="11"/>
        <v>0</v>
      </c>
      <c r="AL38" s="205">
        <f t="shared" si="22"/>
        <v>0</v>
      </c>
      <c r="AM38" s="202">
        <f t="shared" si="12"/>
        <v>0</v>
      </c>
      <c r="AN38" s="208">
        <f t="shared" si="13"/>
        <v>0</v>
      </c>
      <c r="AO38" s="203">
        <f t="shared" si="14"/>
        <v>0</v>
      </c>
      <c r="AP38" s="203">
        <f t="shared" si="15"/>
        <v>0</v>
      </c>
      <c r="AQ38" s="208">
        <f t="shared" si="16"/>
        <v>0</v>
      </c>
      <c r="AR38" s="208">
        <f t="shared" si="17"/>
        <v>0</v>
      </c>
      <c r="AS38" s="208">
        <f t="shared" si="23"/>
        <v>0</v>
      </c>
      <c r="AT38" s="208">
        <f t="shared" si="23"/>
        <v>0</v>
      </c>
      <c r="AU38" s="213"/>
      <c r="AV38" s="214"/>
      <c r="AX38" s="215"/>
    </row>
    <row r="39" spans="1:50" ht="14.25" customHeight="1" x14ac:dyDescent="0.15">
      <c r="A39" s="187"/>
      <c r="B39" s="223">
        <v>35</v>
      </c>
      <c r="C39" s="284" t="s">
        <v>610</v>
      </c>
      <c r="D39" s="227"/>
      <c r="E39" s="187"/>
      <c r="F39" s="290"/>
      <c r="G39" s="298">
        <f t="shared" si="0"/>
        <v>0</v>
      </c>
      <c r="H39" s="167"/>
      <c r="I39" s="166"/>
      <c r="J39" s="39"/>
      <c r="K39" s="37"/>
      <c r="L39" s="37"/>
      <c r="M39" s="183">
        <v>1</v>
      </c>
      <c r="N39" s="292"/>
      <c r="O39" s="187">
        <v>34</v>
      </c>
      <c r="P39" s="303">
        <f t="shared" si="18"/>
        <v>0</v>
      </c>
      <c r="Q39" s="300">
        <f t="shared" si="18"/>
        <v>0</v>
      </c>
      <c r="R39" s="301">
        <f t="shared" si="18"/>
        <v>0</v>
      </c>
      <c r="S39" s="199">
        <f t="shared" si="18"/>
        <v>0</v>
      </c>
      <c r="T39" s="302">
        <f t="shared" si="18"/>
        <v>0</v>
      </c>
      <c r="U39" s="199">
        <f t="shared" si="19"/>
        <v>0</v>
      </c>
      <c r="V39" s="277">
        <f t="shared" si="1"/>
        <v>0</v>
      </c>
      <c r="W39" s="255">
        <f t="shared" si="2"/>
        <v>0</v>
      </c>
      <c r="X39" s="255">
        <f t="shared" si="3"/>
        <v>0</v>
      </c>
      <c r="Y39" s="278">
        <f t="shared" si="20"/>
        <v>0</v>
      </c>
      <c r="Z39" s="256">
        <f t="shared" si="4"/>
        <v>0</v>
      </c>
      <c r="AA39" s="187" t="str">
        <f t="shared" si="5"/>
        <v>ok</v>
      </c>
      <c r="AB39" s="38">
        <f t="shared" si="6"/>
        <v>0</v>
      </c>
      <c r="AC39" s="38">
        <f t="shared" si="21"/>
        <v>0</v>
      </c>
      <c r="AD39" s="38">
        <f t="shared" si="7"/>
        <v>0</v>
      </c>
      <c r="AE39" s="202">
        <f t="shared" si="8"/>
        <v>0</v>
      </c>
      <c r="AF39" s="203">
        <f t="shared" si="25"/>
        <v>0</v>
      </c>
      <c r="AG39" s="203">
        <f t="shared" si="25"/>
        <v>0</v>
      </c>
      <c r="AH39" s="204">
        <v>110</v>
      </c>
      <c r="AI39" s="205">
        <f t="shared" si="24"/>
        <v>0</v>
      </c>
      <c r="AJ39" s="206">
        <f t="shared" si="10"/>
        <v>0</v>
      </c>
      <c r="AK39" s="207">
        <f t="shared" si="11"/>
        <v>0</v>
      </c>
      <c r="AL39" s="205">
        <f t="shared" si="22"/>
        <v>0</v>
      </c>
      <c r="AM39" s="202">
        <f t="shared" si="12"/>
        <v>0</v>
      </c>
      <c r="AN39" s="208">
        <f t="shared" si="13"/>
        <v>0</v>
      </c>
      <c r="AO39" s="203">
        <f t="shared" si="14"/>
        <v>0</v>
      </c>
      <c r="AP39" s="203">
        <f t="shared" si="15"/>
        <v>0</v>
      </c>
      <c r="AQ39" s="208">
        <f t="shared" si="16"/>
        <v>0</v>
      </c>
      <c r="AR39" s="208">
        <f t="shared" si="17"/>
        <v>0</v>
      </c>
      <c r="AS39" s="208">
        <f t="shared" si="23"/>
        <v>0</v>
      </c>
      <c r="AT39" s="208">
        <f t="shared" si="23"/>
        <v>0</v>
      </c>
      <c r="AU39" s="209"/>
      <c r="AV39" s="210"/>
    </row>
    <row r="40" spans="1:50" ht="14.25" customHeight="1" x14ac:dyDescent="0.15">
      <c r="A40" s="187"/>
      <c r="B40" s="223">
        <v>36</v>
      </c>
      <c r="C40" s="284" t="s">
        <v>611</v>
      </c>
      <c r="D40" s="227"/>
      <c r="E40" s="187"/>
      <c r="F40" s="290"/>
      <c r="G40" s="298">
        <f t="shared" si="0"/>
        <v>0</v>
      </c>
      <c r="H40" s="167"/>
      <c r="I40" s="166"/>
      <c r="J40" s="39"/>
      <c r="K40" s="37"/>
      <c r="L40" s="37"/>
      <c r="M40" s="183">
        <v>1</v>
      </c>
      <c r="N40" s="292"/>
      <c r="O40" s="187">
        <v>35</v>
      </c>
      <c r="P40" s="303">
        <f t="shared" si="18"/>
        <v>0</v>
      </c>
      <c r="Q40" s="300">
        <f t="shared" si="18"/>
        <v>0</v>
      </c>
      <c r="R40" s="301">
        <f t="shared" si="18"/>
        <v>0</v>
      </c>
      <c r="S40" s="199">
        <f t="shared" si="18"/>
        <v>0</v>
      </c>
      <c r="T40" s="302">
        <f t="shared" si="18"/>
        <v>0</v>
      </c>
      <c r="U40" s="199">
        <f t="shared" si="19"/>
        <v>0</v>
      </c>
      <c r="V40" s="277">
        <f t="shared" si="1"/>
        <v>0</v>
      </c>
      <c r="W40" s="255">
        <f t="shared" si="2"/>
        <v>0</v>
      </c>
      <c r="X40" s="255">
        <f t="shared" si="3"/>
        <v>0</v>
      </c>
      <c r="Y40" s="278">
        <f t="shared" si="20"/>
        <v>0</v>
      </c>
      <c r="Z40" s="256">
        <f t="shared" si="4"/>
        <v>0</v>
      </c>
      <c r="AA40" s="187" t="str">
        <f t="shared" si="5"/>
        <v>ok</v>
      </c>
      <c r="AB40" s="38">
        <f t="shared" si="6"/>
        <v>0</v>
      </c>
      <c r="AC40" s="38">
        <f t="shared" si="21"/>
        <v>0</v>
      </c>
      <c r="AD40" s="38">
        <f t="shared" si="7"/>
        <v>0</v>
      </c>
      <c r="AE40" s="202">
        <f t="shared" si="8"/>
        <v>0</v>
      </c>
      <c r="AF40" s="203">
        <f t="shared" si="25"/>
        <v>0</v>
      </c>
      <c r="AG40" s="203">
        <f t="shared" si="25"/>
        <v>0</v>
      </c>
      <c r="AH40" s="204">
        <v>110</v>
      </c>
      <c r="AI40" s="205">
        <f t="shared" si="24"/>
        <v>0</v>
      </c>
      <c r="AJ40" s="206">
        <f t="shared" si="10"/>
        <v>0</v>
      </c>
      <c r="AK40" s="207">
        <f t="shared" si="11"/>
        <v>0</v>
      </c>
      <c r="AL40" s="205">
        <f t="shared" si="22"/>
        <v>0</v>
      </c>
      <c r="AM40" s="202">
        <f t="shared" si="12"/>
        <v>0</v>
      </c>
      <c r="AN40" s="208">
        <f t="shared" si="13"/>
        <v>0</v>
      </c>
      <c r="AO40" s="203">
        <f t="shared" si="14"/>
        <v>0</v>
      </c>
      <c r="AP40" s="203">
        <f t="shared" si="15"/>
        <v>0</v>
      </c>
      <c r="AQ40" s="208">
        <f t="shared" si="16"/>
        <v>0</v>
      </c>
      <c r="AR40" s="208">
        <f t="shared" si="17"/>
        <v>0</v>
      </c>
      <c r="AS40" s="208">
        <f t="shared" si="23"/>
        <v>0</v>
      </c>
      <c r="AT40" s="208">
        <f t="shared" si="23"/>
        <v>0</v>
      </c>
      <c r="AU40" s="209"/>
      <c r="AV40" s="210"/>
      <c r="AX40" s="216"/>
    </row>
    <row r="41" spans="1:50" ht="14.25" customHeight="1" x14ac:dyDescent="0.15">
      <c r="A41" s="187"/>
      <c r="B41" s="223">
        <v>37</v>
      </c>
      <c r="C41" s="284" t="s">
        <v>612</v>
      </c>
      <c r="D41" s="227"/>
      <c r="E41" s="187"/>
      <c r="F41" s="290"/>
      <c r="G41" s="298">
        <f t="shared" si="0"/>
        <v>0</v>
      </c>
      <c r="H41" s="167"/>
      <c r="I41" s="166"/>
      <c r="J41" s="39"/>
      <c r="K41" s="37"/>
      <c r="L41" s="37"/>
      <c r="M41" s="183">
        <v>1</v>
      </c>
      <c r="N41" s="292"/>
      <c r="O41" s="187">
        <v>36</v>
      </c>
      <c r="P41" s="303">
        <f t="shared" si="18"/>
        <v>0</v>
      </c>
      <c r="Q41" s="300">
        <f t="shared" si="18"/>
        <v>0</v>
      </c>
      <c r="R41" s="301">
        <f t="shared" si="18"/>
        <v>0</v>
      </c>
      <c r="S41" s="199">
        <f t="shared" si="18"/>
        <v>0</v>
      </c>
      <c r="T41" s="302">
        <f t="shared" si="18"/>
        <v>0</v>
      </c>
      <c r="U41" s="199">
        <f t="shared" si="19"/>
        <v>0</v>
      </c>
      <c r="V41" s="277">
        <f t="shared" si="1"/>
        <v>0</v>
      </c>
      <c r="W41" s="255">
        <f t="shared" si="2"/>
        <v>0</v>
      </c>
      <c r="X41" s="255">
        <f t="shared" si="3"/>
        <v>0</v>
      </c>
      <c r="Y41" s="278">
        <f t="shared" si="20"/>
        <v>0</v>
      </c>
      <c r="Z41" s="256">
        <f t="shared" si="4"/>
        <v>0</v>
      </c>
      <c r="AA41" s="187" t="str">
        <f t="shared" si="5"/>
        <v>ok</v>
      </c>
      <c r="AB41" s="38">
        <f t="shared" si="6"/>
        <v>0</v>
      </c>
      <c r="AC41" s="38">
        <f t="shared" si="21"/>
        <v>0</v>
      </c>
      <c r="AD41" s="38">
        <f t="shared" si="7"/>
        <v>0</v>
      </c>
      <c r="AE41" s="202">
        <f t="shared" si="8"/>
        <v>0</v>
      </c>
      <c r="AF41" s="203">
        <f t="shared" si="25"/>
        <v>0</v>
      </c>
      <c r="AG41" s="203">
        <f t="shared" si="25"/>
        <v>0</v>
      </c>
      <c r="AH41" s="204">
        <v>110</v>
      </c>
      <c r="AI41" s="205">
        <f t="shared" si="24"/>
        <v>0</v>
      </c>
      <c r="AJ41" s="206">
        <f t="shared" si="10"/>
        <v>0</v>
      </c>
      <c r="AK41" s="207">
        <f t="shared" si="11"/>
        <v>0</v>
      </c>
      <c r="AL41" s="205">
        <f t="shared" si="22"/>
        <v>0</v>
      </c>
      <c r="AM41" s="202">
        <f t="shared" si="12"/>
        <v>0</v>
      </c>
      <c r="AN41" s="208">
        <f t="shared" si="13"/>
        <v>0</v>
      </c>
      <c r="AO41" s="203">
        <f t="shared" si="14"/>
        <v>0</v>
      </c>
      <c r="AP41" s="203">
        <f t="shared" si="15"/>
        <v>0</v>
      </c>
      <c r="AQ41" s="208">
        <f t="shared" si="16"/>
        <v>0</v>
      </c>
      <c r="AR41" s="208">
        <f t="shared" si="17"/>
        <v>0</v>
      </c>
      <c r="AS41" s="208">
        <f t="shared" si="23"/>
        <v>0</v>
      </c>
      <c r="AT41" s="208">
        <f t="shared" si="23"/>
        <v>0</v>
      </c>
      <c r="AU41" s="209"/>
      <c r="AV41" s="210"/>
      <c r="AX41" s="216"/>
    </row>
    <row r="42" spans="1:50" ht="14.25" customHeight="1" x14ac:dyDescent="0.15">
      <c r="A42" s="187"/>
      <c r="B42" s="223">
        <v>38</v>
      </c>
      <c r="C42" s="284" t="s">
        <v>613</v>
      </c>
      <c r="D42" s="227"/>
      <c r="E42" s="187"/>
      <c r="F42" s="290"/>
      <c r="G42" s="298">
        <f t="shared" si="0"/>
        <v>0</v>
      </c>
      <c r="H42" s="167"/>
      <c r="I42" s="166"/>
      <c r="J42" s="39"/>
      <c r="K42" s="37"/>
      <c r="L42" s="37"/>
      <c r="M42" s="183">
        <v>1</v>
      </c>
      <c r="N42" s="292"/>
      <c r="O42" s="187">
        <v>37</v>
      </c>
      <c r="P42" s="303">
        <f t="shared" si="18"/>
        <v>0</v>
      </c>
      <c r="Q42" s="300">
        <f t="shared" si="18"/>
        <v>0</v>
      </c>
      <c r="R42" s="301">
        <f t="shared" si="18"/>
        <v>0</v>
      </c>
      <c r="S42" s="199">
        <f t="shared" si="18"/>
        <v>0</v>
      </c>
      <c r="T42" s="302">
        <f t="shared" si="18"/>
        <v>0</v>
      </c>
      <c r="U42" s="199">
        <f t="shared" si="19"/>
        <v>0</v>
      </c>
      <c r="V42" s="277">
        <f t="shared" si="1"/>
        <v>0</v>
      </c>
      <c r="W42" s="255">
        <f t="shared" si="2"/>
        <v>0</v>
      </c>
      <c r="X42" s="255">
        <f t="shared" si="3"/>
        <v>0</v>
      </c>
      <c r="Y42" s="278">
        <f t="shared" si="20"/>
        <v>0</v>
      </c>
      <c r="Z42" s="256">
        <f t="shared" si="4"/>
        <v>0</v>
      </c>
      <c r="AA42" s="187" t="str">
        <f t="shared" si="5"/>
        <v>ok</v>
      </c>
      <c r="AB42" s="38">
        <f t="shared" si="6"/>
        <v>0</v>
      </c>
      <c r="AC42" s="38">
        <f t="shared" si="21"/>
        <v>0</v>
      </c>
      <c r="AD42" s="38">
        <f t="shared" si="7"/>
        <v>0</v>
      </c>
      <c r="AE42" s="202">
        <f t="shared" si="8"/>
        <v>0</v>
      </c>
      <c r="AF42" s="203">
        <f t="shared" si="25"/>
        <v>0</v>
      </c>
      <c r="AG42" s="203">
        <f t="shared" si="25"/>
        <v>0</v>
      </c>
      <c r="AH42" s="204">
        <v>110</v>
      </c>
      <c r="AI42" s="205">
        <f t="shared" si="24"/>
        <v>0</v>
      </c>
      <c r="AJ42" s="206">
        <f t="shared" si="10"/>
        <v>0</v>
      </c>
      <c r="AK42" s="207">
        <f t="shared" si="11"/>
        <v>0</v>
      </c>
      <c r="AL42" s="205">
        <f t="shared" si="22"/>
        <v>0</v>
      </c>
      <c r="AM42" s="202">
        <f t="shared" si="12"/>
        <v>0</v>
      </c>
      <c r="AN42" s="208">
        <f t="shared" si="13"/>
        <v>0</v>
      </c>
      <c r="AO42" s="203">
        <f t="shared" si="14"/>
        <v>0</v>
      </c>
      <c r="AP42" s="203">
        <f t="shared" si="15"/>
        <v>0</v>
      </c>
      <c r="AQ42" s="208">
        <f t="shared" si="16"/>
        <v>0</v>
      </c>
      <c r="AR42" s="208">
        <f t="shared" si="17"/>
        <v>0</v>
      </c>
      <c r="AS42" s="208">
        <f t="shared" si="23"/>
        <v>0</v>
      </c>
      <c r="AT42" s="208">
        <f t="shared" si="23"/>
        <v>0</v>
      </c>
      <c r="AU42" s="209"/>
      <c r="AV42" s="210"/>
    </row>
    <row r="43" spans="1:50" ht="14.25" customHeight="1" thickBot="1" x14ac:dyDescent="0.2">
      <c r="A43" s="187"/>
      <c r="B43" s="228">
        <v>39</v>
      </c>
      <c r="C43" s="285" t="s">
        <v>614</v>
      </c>
      <c r="D43" s="229"/>
      <c r="E43" s="187"/>
      <c r="F43" s="290"/>
      <c r="G43" s="298">
        <f t="shared" si="0"/>
        <v>0</v>
      </c>
      <c r="H43" s="167"/>
      <c r="I43" s="166"/>
      <c r="J43" s="39"/>
      <c r="K43" s="37"/>
      <c r="L43" s="37"/>
      <c r="M43" s="183">
        <v>1</v>
      </c>
      <c r="N43" s="292"/>
      <c r="O43" s="187">
        <v>38</v>
      </c>
      <c r="P43" s="303">
        <f t="shared" si="18"/>
        <v>0</v>
      </c>
      <c r="Q43" s="300">
        <f t="shared" si="18"/>
        <v>0</v>
      </c>
      <c r="R43" s="301">
        <f t="shared" si="18"/>
        <v>0</v>
      </c>
      <c r="S43" s="199">
        <f t="shared" si="18"/>
        <v>0</v>
      </c>
      <c r="T43" s="302">
        <f t="shared" si="18"/>
        <v>0</v>
      </c>
      <c r="U43" s="199">
        <f t="shared" si="19"/>
        <v>0</v>
      </c>
      <c r="V43" s="277">
        <f t="shared" si="1"/>
        <v>0</v>
      </c>
      <c r="W43" s="255">
        <f t="shared" si="2"/>
        <v>0</v>
      </c>
      <c r="X43" s="255">
        <f t="shared" si="3"/>
        <v>0</v>
      </c>
      <c r="Y43" s="278">
        <f t="shared" si="20"/>
        <v>0</v>
      </c>
      <c r="Z43" s="256">
        <f t="shared" si="4"/>
        <v>0</v>
      </c>
      <c r="AA43" s="187" t="str">
        <f t="shared" si="5"/>
        <v>ok</v>
      </c>
      <c r="AB43" s="38">
        <f t="shared" si="6"/>
        <v>0</v>
      </c>
      <c r="AC43" s="38">
        <f t="shared" si="21"/>
        <v>0</v>
      </c>
      <c r="AD43" s="38">
        <f t="shared" si="7"/>
        <v>0</v>
      </c>
      <c r="AE43" s="202">
        <f t="shared" si="8"/>
        <v>0</v>
      </c>
      <c r="AF43" s="203">
        <f t="shared" ref="AF43:AG45" si="26">IF(AM43&lt;11,ROUND(AM43,1),ROUND(AM43,0))</f>
        <v>0</v>
      </c>
      <c r="AG43" s="203">
        <f t="shared" si="26"/>
        <v>0</v>
      </c>
      <c r="AH43" s="204">
        <v>110</v>
      </c>
      <c r="AI43" s="205">
        <f t="shared" si="24"/>
        <v>0</v>
      </c>
      <c r="AJ43" s="206">
        <f t="shared" si="10"/>
        <v>0</v>
      </c>
      <c r="AK43" s="207">
        <f t="shared" si="11"/>
        <v>0</v>
      </c>
      <c r="AL43" s="205">
        <f t="shared" si="22"/>
        <v>0</v>
      </c>
      <c r="AM43" s="202">
        <f t="shared" si="12"/>
        <v>0</v>
      </c>
      <c r="AN43" s="208">
        <f t="shared" si="13"/>
        <v>0</v>
      </c>
      <c r="AO43" s="203">
        <f t="shared" si="14"/>
        <v>0</v>
      </c>
      <c r="AP43" s="203">
        <f t="shared" si="15"/>
        <v>0</v>
      </c>
      <c r="AQ43" s="208">
        <f t="shared" si="16"/>
        <v>0</v>
      </c>
      <c r="AR43" s="208">
        <f t="shared" si="17"/>
        <v>0</v>
      </c>
      <c r="AS43" s="208">
        <f t="shared" si="23"/>
        <v>0</v>
      </c>
      <c r="AT43" s="208">
        <f t="shared" si="23"/>
        <v>0</v>
      </c>
      <c r="AU43" s="209"/>
      <c r="AV43" s="210"/>
    </row>
    <row r="44" spans="1:50" ht="14.25" customHeight="1" x14ac:dyDescent="0.15">
      <c r="A44" s="187"/>
      <c r="B44" s="187"/>
      <c r="C44" s="187"/>
      <c r="D44" s="187"/>
      <c r="E44" s="187"/>
      <c r="F44" s="290"/>
      <c r="G44" s="298">
        <f t="shared" si="0"/>
        <v>0</v>
      </c>
      <c r="H44" s="167"/>
      <c r="I44" s="166"/>
      <c r="J44" s="39"/>
      <c r="K44" s="37"/>
      <c r="L44" s="37"/>
      <c r="M44" s="183">
        <v>1</v>
      </c>
      <c r="N44" s="292"/>
      <c r="O44" s="187">
        <v>39</v>
      </c>
      <c r="P44" s="303">
        <f t="shared" si="18"/>
        <v>0</v>
      </c>
      <c r="Q44" s="300">
        <f t="shared" si="18"/>
        <v>0</v>
      </c>
      <c r="R44" s="301">
        <f t="shared" si="18"/>
        <v>0</v>
      </c>
      <c r="S44" s="199">
        <f t="shared" si="18"/>
        <v>0</v>
      </c>
      <c r="T44" s="302">
        <f t="shared" si="18"/>
        <v>0</v>
      </c>
      <c r="U44" s="199">
        <f t="shared" si="19"/>
        <v>0</v>
      </c>
      <c r="V44" s="277">
        <f t="shared" si="1"/>
        <v>0</v>
      </c>
      <c r="W44" s="255">
        <f t="shared" si="2"/>
        <v>0</v>
      </c>
      <c r="X44" s="255">
        <f t="shared" si="3"/>
        <v>0</v>
      </c>
      <c r="Y44" s="278">
        <f t="shared" si="20"/>
        <v>0</v>
      </c>
      <c r="Z44" s="256">
        <f t="shared" si="4"/>
        <v>0</v>
      </c>
      <c r="AA44" s="187" t="str">
        <f t="shared" si="5"/>
        <v>ok</v>
      </c>
      <c r="AB44" s="38">
        <f t="shared" si="6"/>
        <v>0</v>
      </c>
      <c r="AC44" s="38">
        <f t="shared" si="21"/>
        <v>0</v>
      </c>
      <c r="AD44" s="38">
        <f t="shared" si="7"/>
        <v>0</v>
      </c>
      <c r="AE44" s="202">
        <f t="shared" si="8"/>
        <v>0</v>
      </c>
      <c r="AF44" s="203">
        <f t="shared" si="26"/>
        <v>0</v>
      </c>
      <c r="AG44" s="203">
        <f t="shared" si="26"/>
        <v>0</v>
      </c>
      <c r="AH44" s="204">
        <v>110</v>
      </c>
      <c r="AI44" s="205">
        <f t="shared" si="24"/>
        <v>0</v>
      </c>
      <c r="AJ44" s="206">
        <f t="shared" si="10"/>
        <v>0</v>
      </c>
      <c r="AK44" s="207">
        <f t="shared" si="11"/>
        <v>0</v>
      </c>
      <c r="AL44" s="205">
        <f t="shared" si="22"/>
        <v>0</v>
      </c>
      <c r="AM44" s="202">
        <f t="shared" si="12"/>
        <v>0</v>
      </c>
      <c r="AN44" s="208">
        <f t="shared" si="13"/>
        <v>0</v>
      </c>
      <c r="AO44" s="203">
        <f t="shared" si="14"/>
        <v>0</v>
      </c>
      <c r="AP44" s="203">
        <f t="shared" si="15"/>
        <v>0</v>
      </c>
      <c r="AQ44" s="208">
        <f t="shared" si="16"/>
        <v>0</v>
      </c>
      <c r="AR44" s="208">
        <f t="shared" si="17"/>
        <v>0</v>
      </c>
      <c r="AS44" s="208">
        <f t="shared" si="23"/>
        <v>0</v>
      </c>
      <c r="AT44" s="208">
        <f t="shared" si="23"/>
        <v>0</v>
      </c>
      <c r="AU44" s="209"/>
      <c r="AV44" s="210"/>
    </row>
    <row r="45" spans="1:50" ht="14.25" customHeight="1" thickBot="1" x14ac:dyDescent="0.2">
      <c r="A45" s="187"/>
      <c r="B45" s="187"/>
      <c r="C45" s="187"/>
      <c r="D45" s="187"/>
      <c r="E45" s="187"/>
      <c r="F45" s="291"/>
      <c r="G45" s="299">
        <f t="shared" si="0"/>
        <v>0</v>
      </c>
      <c r="H45" s="293"/>
      <c r="I45" s="294"/>
      <c r="J45" s="295"/>
      <c r="K45" s="296"/>
      <c r="L45" s="296"/>
      <c r="M45" s="219">
        <v>1</v>
      </c>
      <c r="N45" s="297"/>
      <c r="O45" s="187">
        <v>40</v>
      </c>
      <c r="P45" s="303">
        <f t="shared" si="18"/>
        <v>0</v>
      </c>
      <c r="Q45" s="300">
        <f t="shared" si="18"/>
        <v>0</v>
      </c>
      <c r="R45" s="301">
        <f t="shared" si="18"/>
        <v>0</v>
      </c>
      <c r="S45" s="199">
        <f t="shared" si="18"/>
        <v>0</v>
      </c>
      <c r="T45" s="302">
        <f t="shared" si="18"/>
        <v>0</v>
      </c>
      <c r="U45" s="199">
        <f t="shared" si="19"/>
        <v>0</v>
      </c>
      <c r="V45" s="277">
        <f t="shared" si="1"/>
        <v>0</v>
      </c>
      <c r="W45" s="255">
        <f t="shared" si="2"/>
        <v>0</v>
      </c>
      <c r="X45" s="255">
        <f t="shared" si="3"/>
        <v>0</v>
      </c>
      <c r="Y45" s="278">
        <f t="shared" si="20"/>
        <v>0</v>
      </c>
      <c r="Z45" s="256">
        <f t="shared" si="4"/>
        <v>0</v>
      </c>
      <c r="AA45" s="187" t="str">
        <f t="shared" si="5"/>
        <v>ok</v>
      </c>
      <c r="AB45" s="38">
        <f t="shared" si="6"/>
        <v>0</v>
      </c>
      <c r="AC45" s="38">
        <f t="shared" si="21"/>
        <v>0</v>
      </c>
      <c r="AD45" s="38">
        <f t="shared" si="7"/>
        <v>0</v>
      </c>
      <c r="AE45" s="202">
        <f t="shared" si="8"/>
        <v>0</v>
      </c>
      <c r="AF45" s="203">
        <f t="shared" si="26"/>
        <v>0</v>
      </c>
      <c r="AG45" s="203">
        <f t="shared" si="26"/>
        <v>0</v>
      </c>
      <c r="AH45" s="204">
        <v>110</v>
      </c>
      <c r="AI45" s="205">
        <f t="shared" si="24"/>
        <v>0</v>
      </c>
      <c r="AJ45" s="206">
        <f t="shared" si="10"/>
        <v>0</v>
      </c>
      <c r="AK45" s="207">
        <f t="shared" si="11"/>
        <v>0</v>
      </c>
      <c r="AL45" s="205">
        <f t="shared" si="22"/>
        <v>0</v>
      </c>
      <c r="AM45" s="202">
        <f t="shared" si="12"/>
        <v>0</v>
      </c>
      <c r="AN45" s="208">
        <f t="shared" si="13"/>
        <v>0</v>
      </c>
      <c r="AO45" s="203">
        <f t="shared" si="14"/>
        <v>0</v>
      </c>
      <c r="AP45" s="203">
        <f t="shared" si="15"/>
        <v>0</v>
      </c>
      <c r="AQ45" s="208">
        <f t="shared" si="16"/>
        <v>0</v>
      </c>
      <c r="AR45" s="208">
        <f t="shared" si="17"/>
        <v>0</v>
      </c>
      <c r="AS45" s="208">
        <f t="shared" si="23"/>
        <v>0</v>
      </c>
      <c r="AT45" s="208">
        <f t="shared" si="23"/>
        <v>0</v>
      </c>
      <c r="AU45" s="209"/>
      <c r="AV45" s="210"/>
    </row>
    <row r="46" spans="1:50" ht="14.25" customHeight="1" thickBot="1" x14ac:dyDescent="0.2">
      <c r="A46" s="187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259" t="s">
        <v>34</v>
      </c>
      <c r="Q46" s="260"/>
      <c r="R46" s="261"/>
      <c r="S46" s="257"/>
      <c r="T46" s="257"/>
      <c r="U46" s="257"/>
      <c r="V46" s="257"/>
      <c r="W46" s="257"/>
      <c r="X46" s="257"/>
      <c r="Y46" s="257"/>
      <c r="Z46" s="258">
        <f>SUM(Z6:Z45)</f>
        <v>6.13</v>
      </c>
      <c r="AA46" s="209"/>
      <c r="AB46" s="209"/>
      <c r="AC46" s="209"/>
      <c r="AD46" s="209"/>
      <c r="AE46" s="209"/>
      <c r="AF46" s="209"/>
      <c r="AG46" s="209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209"/>
      <c r="AV46" s="210"/>
    </row>
    <row r="47" spans="1:50" ht="14.25" customHeight="1" x14ac:dyDescent="0.15">
      <c r="A47" s="187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379" t="s">
        <v>23</v>
      </c>
      <c r="Q47" s="380"/>
      <c r="R47" s="262" t="s">
        <v>33</v>
      </c>
      <c r="S47" s="263"/>
      <c r="T47" s="263"/>
      <c r="U47" s="263"/>
      <c r="V47" s="264">
        <f>Z46</f>
        <v>6.13</v>
      </c>
      <c r="W47" s="265" t="s">
        <v>445</v>
      </c>
      <c r="X47" s="266">
        <v>0.1</v>
      </c>
      <c r="Y47" s="265"/>
      <c r="Z47" s="267">
        <f>ROUND(V47*0.1,2)</f>
        <v>0.61</v>
      </c>
      <c r="AA47" s="213"/>
      <c r="AB47" s="213"/>
      <c r="AC47" s="213"/>
      <c r="AD47" s="213"/>
      <c r="AE47" s="209"/>
      <c r="AF47" s="209"/>
      <c r="AG47" s="209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209"/>
      <c r="AV47" s="210"/>
    </row>
    <row r="48" spans="1:50" ht="14.25" customHeight="1" x14ac:dyDescent="0.15">
      <c r="A48" s="187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381" t="s">
        <v>24</v>
      </c>
      <c r="Q48" s="382"/>
      <c r="R48" s="268" t="s">
        <v>446</v>
      </c>
      <c r="S48" s="383" t="s">
        <v>623</v>
      </c>
      <c r="T48" s="383"/>
      <c r="U48" s="383"/>
      <c r="V48" s="383"/>
      <c r="W48" s="383"/>
      <c r="X48" s="383"/>
      <c r="Y48" s="384"/>
      <c r="Z48" s="40">
        <f>1.2-0.45+6+1.8</f>
        <v>8.5500000000000007</v>
      </c>
      <c r="AA48" s="187"/>
      <c r="AB48" s="187"/>
      <c r="AC48" s="187"/>
      <c r="AD48" s="187"/>
      <c r="AE48" s="213"/>
      <c r="AF48" s="213"/>
      <c r="AG48" s="213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211"/>
      <c r="AV48" s="212"/>
    </row>
    <row r="49" spans="1:47" ht="14.25" customHeight="1" x14ac:dyDescent="0.15">
      <c r="A49" s="187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381" t="s">
        <v>25</v>
      </c>
      <c r="Q49" s="382"/>
      <c r="R49" s="385" t="s">
        <v>571</v>
      </c>
      <c r="S49" s="386"/>
      <c r="T49" s="386"/>
      <c r="U49" s="386"/>
      <c r="V49" s="386"/>
      <c r="W49" s="386"/>
      <c r="X49" s="386"/>
      <c r="Y49" s="387"/>
      <c r="Z49" s="40">
        <v>5</v>
      </c>
      <c r="AA49" s="187"/>
      <c r="AB49" s="187"/>
      <c r="AC49" s="187"/>
      <c r="AD49" s="187"/>
      <c r="AE49" s="187"/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</row>
    <row r="50" spans="1:47" ht="14.25" customHeight="1" x14ac:dyDescent="0.15">
      <c r="A50" s="187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381" t="s">
        <v>26</v>
      </c>
      <c r="Q50" s="382"/>
      <c r="R50" s="315"/>
      <c r="S50" s="383"/>
      <c r="T50" s="383"/>
      <c r="U50" s="383"/>
      <c r="V50" s="383"/>
      <c r="W50" s="383"/>
      <c r="X50" s="383"/>
      <c r="Y50" s="384"/>
      <c r="Z50" s="40">
        <v>0</v>
      </c>
      <c r="AA50" s="187"/>
      <c r="AB50" s="187"/>
      <c r="AC50" s="187"/>
      <c r="AD50" s="187"/>
      <c r="AE50" s="187"/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</row>
    <row r="51" spans="1:47" ht="14.25" customHeight="1" thickBot="1" x14ac:dyDescent="0.2">
      <c r="A51" s="187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388" t="s">
        <v>34</v>
      </c>
      <c r="Q51" s="389"/>
      <c r="R51" s="260"/>
      <c r="S51" s="261"/>
      <c r="T51" s="261"/>
      <c r="U51" s="261"/>
      <c r="V51" s="261"/>
      <c r="W51" s="261"/>
      <c r="X51" s="261"/>
      <c r="Y51" s="261"/>
      <c r="Z51" s="270">
        <f>SUM(Z47:Z50)</f>
        <v>14.16</v>
      </c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</row>
    <row r="52" spans="1:47" ht="14.25" customHeight="1" x14ac:dyDescent="0.15">
      <c r="A52" s="187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390"/>
      <c r="Q52" s="391"/>
      <c r="R52" s="318"/>
      <c r="S52" s="392"/>
      <c r="T52" s="393"/>
      <c r="U52" s="393"/>
      <c r="V52" s="393"/>
      <c r="W52" s="393"/>
      <c r="X52" s="393"/>
      <c r="Y52" s="394"/>
      <c r="Z52" s="164"/>
      <c r="AA52" s="187"/>
      <c r="AB52" s="187"/>
      <c r="AC52" s="187"/>
      <c r="AD52" s="187"/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</row>
    <row r="53" spans="1:47" ht="14.25" customHeight="1" x14ac:dyDescent="0.15">
      <c r="A53" s="187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381" t="s">
        <v>35</v>
      </c>
      <c r="Q53" s="382"/>
      <c r="R53" s="271"/>
      <c r="S53" s="272"/>
      <c r="T53" s="272"/>
      <c r="U53" s="272"/>
      <c r="V53" s="272"/>
      <c r="W53" s="272"/>
      <c r="X53" s="272"/>
      <c r="Y53" s="272"/>
      <c r="Z53" s="275">
        <f>Z46+Z51+Z52</f>
        <v>20.29</v>
      </c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</row>
    <row r="54" spans="1:47" ht="14.25" customHeight="1" thickBot="1" x14ac:dyDescent="0.2">
      <c r="A54" s="187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388" t="s">
        <v>27</v>
      </c>
      <c r="Q54" s="389"/>
      <c r="R54" s="273" t="s">
        <v>28</v>
      </c>
      <c r="S54" s="274"/>
      <c r="T54" s="274"/>
      <c r="U54" s="274"/>
      <c r="V54" s="159">
        <v>30</v>
      </c>
      <c r="W54" s="261" t="s">
        <v>447</v>
      </c>
      <c r="X54" s="276">
        <f>IF(V54=0,0,Z53)</f>
        <v>20.29</v>
      </c>
      <c r="Y54" s="261" t="s">
        <v>448</v>
      </c>
      <c r="Z54" s="270">
        <f>V54-X54</f>
        <v>9.7100000000000009</v>
      </c>
      <c r="AA54" s="187" t="str">
        <f>IF(Z54&gt;0,"ok","out")</f>
        <v>ok</v>
      </c>
      <c r="AB54" s="187"/>
      <c r="AC54" s="187"/>
      <c r="AD54" s="187"/>
      <c r="AE54" s="187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</row>
    <row r="55" spans="1:47" ht="14.25" customHeight="1" x14ac:dyDescent="0.15">
      <c r="A55" s="187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367" t="s">
        <v>569</v>
      </c>
      <c r="Q55" s="368"/>
      <c r="R55" s="373"/>
      <c r="S55" s="373"/>
      <c r="T55" s="373"/>
      <c r="U55" s="373"/>
      <c r="V55" s="373"/>
      <c r="W55" s="373"/>
      <c r="X55" s="373"/>
      <c r="Y55" s="373"/>
      <c r="Z55" s="374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</row>
    <row r="56" spans="1:47" ht="14.25" customHeight="1" x14ac:dyDescent="0.15">
      <c r="A56" s="187"/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369"/>
      <c r="Q56" s="370"/>
      <c r="R56" s="375"/>
      <c r="S56" s="375"/>
      <c r="T56" s="375"/>
      <c r="U56" s="375"/>
      <c r="V56" s="375"/>
      <c r="W56" s="375"/>
      <c r="X56" s="375"/>
      <c r="Y56" s="375"/>
      <c r="Z56" s="376"/>
      <c r="AA56" s="187"/>
      <c r="AB56" s="187"/>
      <c r="AC56" s="187"/>
      <c r="AD56" s="187"/>
      <c r="AE56" s="187"/>
      <c r="AF56" s="187"/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</row>
    <row r="57" spans="1:47" ht="14.25" customHeight="1" thickBot="1" x14ac:dyDescent="0.2">
      <c r="A57" s="187"/>
      <c r="B57" s="187"/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371"/>
      <c r="Q57" s="372"/>
      <c r="R57" s="377"/>
      <c r="S57" s="377"/>
      <c r="T57" s="377"/>
      <c r="U57" s="377"/>
      <c r="V57" s="377"/>
      <c r="W57" s="377"/>
      <c r="X57" s="377"/>
      <c r="Y57" s="377"/>
      <c r="Z57" s="378"/>
      <c r="AA57" s="187"/>
      <c r="AB57" s="187"/>
      <c r="AC57" s="187"/>
      <c r="AD57" s="187"/>
      <c r="AE57" s="187"/>
      <c r="AF57" s="187"/>
      <c r="AG57" s="187"/>
      <c r="AH57" s="187"/>
      <c r="AI57" s="187"/>
      <c r="AJ57" s="187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</row>
    <row r="58" spans="1:47" x14ac:dyDescent="0.15">
      <c r="A58" s="187"/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217"/>
      <c r="Q58" s="217"/>
      <c r="R58" s="217"/>
      <c r="S58" s="217"/>
      <c r="T58" s="217"/>
      <c r="U58" s="217"/>
      <c r="V58" s="217" t="s">
        <v>449</v>
      </c>
      <c r="W58" s="217"/>
      <c r="X58" s="217"/>
      <c r="Y58" s="217"/>
      <c r="Z58" s="218"/>
      <c r="AA58" s="187"/>
      <c r="AB58" s="187"/>
      <c r="AC58" s="187"/>
      <c r="AD58" s="187"/>
      <c r="AE58" s="187"/>
      <c r="AF58" s="187"/>
      <c r="AG58" s="187"/>
      <c r="AH58" s="187"/>
      <c r="AI58" s="187"/>
      <c r="AJ58" s="187"/>
      <c r="AK58" s="187"/>
      <c r="AL58" s="187"/>
      <c r="AM58" s="187"/>
      <c r="AN58" s="187"/>
      <c r="AO58" s="187"/>
      <c r="AP58" s="187"/>
      <c r="AQ58" s="187"/>
      <c r="AR58" s="187"/>
      <c r="AS58" s="187"/>
      <c r="AT58" s="187"/>
      <c r="AU58" s="187"/>
    </row>
    <row r="59" spans="1:47" x14ac:dyDescent="0.15">
      <c r="A59" s="187"/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 t="s">
        <v>570</v>
      </c>
      <c r="W59" s="187"/>
      <c r="X59" s="187"/>
      <c r="Y59" s="187"/>
      <c r="Z59" s="187"/>
      <c r="AA59" s="187"/>
      <c r="AB59" s="187"/>
      <c r="AC59" s="187"/>
      <c r="AD59" s="187"/>
      <c r="AE59" s="187"/>
      <c r="AF59" s="187"/>
      <c r="AG59" s="187"/>
      <c r="AH59" s="187"/>
      <c r="AI59" s="187"/>
      <c r="AJ59" s="187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</row>
  </sheetData>
  <sheetProtection password="CC1F" sheet="1" objects="1" scenarios="1" selectLockedCells="1"/>
  <mergeCells count="31">
    <mergeCell ref="P55:Q57"/>
    <mergeCell ref="R55:Z55"/>
    <mergeCell ref="R56:Z56"/>
    <mergeCell ref="R57:Z57"/>
    <mergeCell ref="P47:Q47"/>
    <mergeCell ref="P48:Q48"/>
    <mergeCell ref="S48:Y48"/>
    <mergeCell ref="P49:Q49"/>
    <mergeCell ref="R49:Y49"/>
    <mergeCell ref="P50:Q50"/>
    <mergeCell ref="S50:Y50"/>
    <mergeCell ref="P51:Q51"/>
    <mergeCell ref="P52:Q52"/>
    <mergeCell ref="S52:Y52"/>
    <mergeCell ref="P53:Q53"/>
    <mergeCell ref="P54:Q54"/>
    <mergeCell ref="G4:G5"/>
    <mergeCell ref="H4:I4"/>
    <mergeCell ref="P4:P5"/>
    <mergeCell ref="Q4:R4"/>
    <mergeCell ref="AA4:AA5"/>
    <mergeCell ref="H5:I5"/>
    <mergeCell ref="Q5:R5"/>
    <mergeCell ref="P2:W3"/>
    <mergeCell ref="AE2:AG2"/>
    <mergeCell ref="AS2:AT2"/>
    <mergeCell ref="B3:D3"/>
    <mergeCell ref="X3:Z3"/>
    <mergeCell ref="AO3:AP3"/>
    <mergeCell ref="AQ3:AR3"/>
    <mergeCell ref="AS3:AT3"/>
  </mergeCells>
  <phoneticPr fontId="3"/>
  <conditionalFormatting sqref="K6:L45">
    <cfRule type="expression" dxfId="8" priority="3">
      <formula>$J6&gt;1</formula>
    </cfRule>
  </conditionalFormatting>
  <conditionalFormatting sqref="H6:N45">
    <cfRule type="expression" dxfId="7" priority="2">
      <formula>$F6=0</formula>
    </cfRule>
  </conditionalFormatting>
  <conditionalFormatting sqref="J6:J45">
    <cfRule type="expression" dxfId="6" priority="1">
      <formula>$J6&lt;1</formula>
    </cfRule>
  </conditionalFormatting>
  <dataValidations count="8">
    <dataValidation type="list" allowBlank="1" showInputMessage="1" showErrorMessage="1" errorTitle="戸数が入力されています。" error="戸数が空欄のみ入力ができます。" sqref="L6:L45">
      <formula1>使用水量</formula1>
    </dataValidation>
    <dataValidation type="whole" operator="greaterThanOrEqual" allowBlank="1" showInputMessage="1" showErrorMessage="1" sqref="M6:M45">
      <formula1>1</formula1>
    </dataValidation>
    <dataValidation type="list" allowBlank="1" showInputMessage="1" showErrorMessage="1" sqref="H6:I45">
      <formula1>口径</formula1>
    </dataValidation>
    <dataValidation type="whole" allowBlank="1" showErrorMessage="1" errorTitle="入力できません。" error="1戸の場合は栓数に入力します。" sqref="J6:J45">
      <formula1>2</formula1>
      <formula2>599</formula2>
    </dataValidation>
    <dataValidation type="list" allowBlank="1" showInputMessage="1" showErrorMessage="1" sqref="V54">
      <formula1>"20,30"</formula1>
    </dataValidation>
    <dataValidation type="list" allowBlank="1" showInputMessage="1" showErrorMessage="1" sqref="Z49">
      <formula1>所要水頭</formula1>
    </dataValidation>
    <dataValidation type="list" allowBlank="1" showInputMessage="1" showErrorMessage="1" sqref="AH6:AH45">
      <formula1>流速計数</formula1>
    </dataValidation>
    <dataValidation type="custom" allowBlank="1" showInputMessage="1" showErrorMessage="1" errorTitle="戸数が入力されています。" error="戸数が空欄のみ入力ができます。" sqref="K6:K45">
      <formula1>J6=0</formula1>
    </dataValidation>
  </dataValidations>
  <pageMargins left="0.78740157480314965" right="0" top="0.59055118110236227" bottom="0.59055118110236227" header="0.59055118110236227" footer="0.51181102362204722"/>
  <pageSetup paperSize="9" scale="105" orientation="portrait" blackAndWhite="1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X59"/>
  <sheetViews>
    <sheetView showGridLines="0" showRowColHeaders="0" showZeros="0" zoomScale="80" zoomScaleNormal="80" workbookViewId="0">
      <pane ySplit="5" topLeftCell="A6" activePane="bottomLeft" state="frozen"/>
      <selection pane="bottomLeft" activeCell="F6" sqref="F6:F17"/>
    </sheetView>
  </sheetViews>
  <sheetFormatPr defaultColWidth="8.875" defaultRowHeight="13.5" x14ac:dyDescent="0.15"/>
  <cols>
    <col min="1" max="1" width="2.125" style="189" customWidth="1"/>
    <col min="2" max="2" width="3.75" style="189" bestFit="1" customWidth="1"/>
    <col min="3" max="3" width="13.625" style="189" bestFit="1" customWidth="1"/>
    <col min="4" max="4" width="8.875" style="189"/>
    <col min="5" max="5" width="2.25" style="189" customWidth="1"/>
    <col min="6" max="6" width="4.125" style="189" customWidth="1"/>
    <col min="7" max="7" width="14.25" style="189" customWidth="1"/>
    <col min="8" max="8" width="6" style="189" customWidth="1"/>
    <col min="9" max="9" width="4.5" style="189" customWidth="1"/>
    <col min="10" max="11" width="5.625" style="189" customWidth="1"/>
    <col min="12" max="12" width="8.25" style="189" customWidth="1"/>
    <col min="13" max="13" width="4.125" style="189" customWidth="1"/>
    <col min="14" max="14" width="7.25" style="189" customWidth="1"/>
    <col min="15" max="15" width="3.625" style="189" customWidth="1"/>
    <col min="16" max="16" width="14.25" style="189" customWidth="1"/>
    <col min="17" max="17" width="6" style="189" customWidth="1"/>
    <col min="18" max="18" width="4.5" style="189" customWidth="1"/>
    <col min="19" max="20" width="5.625" style="189" customWidth="1"/>
    <col min="21" max="22" width="9.375" style="189" customWidth="1"/>
    <col min="23" max="24" width="7.25" style="189" customWidth="1"/>
    <col min="25" max="25" width="9.375" style="189" bestFit="1" customWidth="1"/>
    <col min="26" max="26" width="9.75" style="189" bestFit="1" customWidth="1"/>
    <col min="27" max="27" width="6.375" style="189" customWidth="1"/>
    <col min="28" max="30" width="6.375" style="189" hidden="1" customWidth="1"/>
    <col min="31" max="31" width="6.375" style="189" customWidth="1"/>
    <col min="32" max="33" width="7.125" style="189" customWidth="1"/>
    <col min="34" max="34" width="9.5" style="189" customWidth="1"/>
    <col min="35" max="36" width="7.5" style="189" hidden="1" customWidth="1"/>
    <col min="37" max="37" width="21.625" style="189" hidden="1" customWidth="1"/>
    <col min="38" max="38" width="6.75" style="189" hidden="1" customWidth="1"/>
    <col min="39" max="46" width="7.125" style="189" hidden="1" customWidth="1"/>
    <col min="47" max="60" width="6.625" style="189" customWidth="1"/>
    <col min="61" max="16384" width="8.875" style="189"/>
  </cols>
  <sheetData>
    <row r="1" spans="1:47" x14ac:dyDescent="0.15">
      <c r="A1" s="187"/>
      <c r="B1" s="286" t="s">
        <v>644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8" t="s">
        <v>437</v>
      </c>
      <c r="AA1" s="187"/>
      <c r="AB1" s="187" t="s">
        <v>580</v>
      </c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</row>
    <row r="2" spans="1:47" ht="14.25" customHeight="1" thickBot="1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343" t="s">
        <v>624</v>
      </c>
      <c r="Q2" s="343"/>
      <c r="R2" s="343"/>
      <c r="S2" s="343"/>
      <c r="T2" s="343"/>
      <c r="U2" s="343"/>
      <c r="V2" s="343"/>
      <c r="W2" s="343"/>
      <c r="X2" s="314"/>
      <c r="Y2" s="314"/>
      <c r="Z2" s="314"/>
      <c r="AA2" s="187"/>
      <c r="AB2" s="187"/>
      <c r="AC2" s="187"/>
      <c r="AD2" s="187"/>
      <c r="AE2" s="345" t="s">
        <v>436</v>
      </c>
      <c r="AF2" s="346"/>
      <c r="AG2" s="347"/>
      <c r="AH2" s="187"/>
      <c r="AI2" s="187"/>
      <c r="AJ2" s="187"/>
      <c r="AK2" s="187"/>
      <c r="AL2" s="187"/>
      <c r="AM2" s="187"/>
      <c r="AN2" s="190"/>
      <c r="AO2" s="190"/>
      <c r="AP2" s="190"/>
      <c r="AQ2" s="187"/>
      <c r="AR2" s="187"/>
      <c r="AS2" s="348" t="s">
        <v>436</v>
      </c>
      <c r="AT2" s="349"/>
      <c r="AU2" s="187"/>
    </row>
    <row r="3" spans="1:47" ht="14.25" customHeight="1" thickBot="1" x14ac:dyDescent="0.2">
      <c r="A3" s="187"/>
      <c r="B3" s="350" t="s">
        <v>640</v>
      </c>
      <c r="C3" s="351"/>
      <c r="D3" s="352"/>
      <c r="E3" s="187"/>
      <c r="F3" s="187"/>
      <c r="G3" s="187"/>
      <c r="H3" s="187"/>
      <c r="I3" s="187"/>
      <c r="J3" s="187"/>
      <c r="K3" s="187"/>
      <c r="L3" s="187"/>
      <c r="M3" s="187"/>
      <c r="N3" s="253" t="s">
        <v>572</v>
      </c>
      <c r="O3" s="187"/>
      <c r="P3" s="344"/>
      <c r="Q3" s="344"/>
      <c r="R3" s="344"/>
      <c r="S3" s="344"/>
      <c r="T3" s="344"/>
      <c r="U3" s="344"/>
      <c r="V3" s="344"/>
      <c r="W3" s="344"/>
      <c r="X3" s="353" t="str">
        <f>B3</f>
        <v>共同住宅</v>
      </c>
      <c r="Y3" s="353"/>
      <c r="Z3" s="353"/>
      <c r="AA3" s="187"/>
      <c r="AB3" s="192"/>
      <c r="AC3" s="192"/>
      <c r="AD3" s="192"/>
      <c r="AE3" s="193" t="s">
        <v>99</v>
      </c>
      <c r="AF3" s="194" t="s">
        <v>44</v>
      </c>
      <c r="AG3" s="195" t="s">
        <v>44</v>
      </c>
      <c r="AH3" s="193"/>
      <c r="AI3" s="193"/>
      <c r="AJ3" s="193"/>
      <c r="AK3" s="196"/>
      <c r="AL3" s="193" t="s">
        <v>99</v>
      </c>
      <c r="AM3" s="194" t="s">
        <v>44</v>
      </c>
      <c r="AN3" s="195" t="s">
        <v>44</v>
      </c>
      <c r="AO3" s="354" t="s">
        <v>579</v>
      </c>
      <c r="AP3" s="355"/>
      <c r="AQ3" s="354" t="s">
        <v>434</v>
      </c>
      <c r="AR3" s="355"/>
      <c r="AS3" s="354" t="s">
        <v>434</v>
      </c>
      <c r="AT3" s="355"/>
      <c r="AU3" s="187"/>
    </row>
    <row r="4" spans="1:47" ht="14.25" customHeight="1" thickBot="1" x14ac:dyDescent="0.2">
      <c r="A4" s="187"/>
      <c r="B4" s="187"/>
      <c r="C4" s="187"/>
      <c r="D4" s="187"/>
      <c r="E4" s="187"/>
      <c r="F4" s="287" t="s">
        <v>617</v>
      </c>
      <c r="G4" s="356" t="s">
        <v>37</v>
      </c>
      <c r="H4" s="358" t="s">
        <v>0</v>
      </c>
      <c r="I4" s="359"/>
      <c r="J4" s="248" t="s">
        <v>16</v>
      </c>
      <c r="K4" s="248" t="s">
        <v>2</v>
      </c>
      <c r="L4" s="248" t="s">
        <v>18</v>
      </c>
      <c r="M4" s="248" t="s">
        <v>38</v>
      </c>
      <c r="N4" s="249" t="s">
        <v>1</v>
      </c>
      <c r="O4" s="187"/>
      <c r="P4" s="360" t="s">
        <v>37</v>
      </c>
      <c r="Q4" s="358" t="s">
        <v>0</v>
      </c>
      <c r="R4" s="359"/>
      <c r="S4" s="248" t="s">
        <v>16</v>
      </c>
      <c r="T4" s="248" t="s">
        <v>2</v>
      </c>
      <c r="U4" s="248" t="s">
        <v>17</v>
      </c>
      <c r="V4" s="248" t="s">
        <v>18</v>
      </c>
      <c r="W4" s="248" t="s">
        <v>1</v>
      </c>
      <c r="X4" s="248" t="s">
        <v>38</v>
      </c>
      <c r="Y4" s="248" t="s">
        <v>19</v>
      </c>
      <c r="Z4" s="254" t="s">
        <v>3</v>
      </c>
      <c r="AA4" s="362" t="s">
        <v>49</v>
      </c>
      <c r="AB4" s="191" t="s">
        <v>38</v>
      </c>
      <c r="AC4" s="191" t="s">
        <v>38</v>
      </c>
      <c r="AD4" s="191" t="s">
        <v>38</v>
      </c>
      <c r="AE4" s="197" t="s">
        <v>100</v>
      </c>
      <c r="AF4" s="193" t="s">
        <v>131</v>
      </c>
      <c r="AG4" s="193" t="s">
        <v>132</v>
      </c>
      <c r="AH4" s="197" t="s">
        <v>43</v>
      </c>
      <c r="AI4" s="197" t="s">
        <v>435</v>
      </c>
      <c r="AJ4" s="197" t="s">
        <v>435</v>
      </c>
      <c r="AK4" s="198" t="s">
        <v>41</v>
      </c>
      <c r="AL4" s="197" t="s">
        <v>100</v>
      </c>
      <c r="AM4" s="193" t="s">
        <v>131</v>
      </c>
      <c r="AN4" s="193" t="s">
        <v>132</v>
      </c>
      <c r="AO4" s="193" t="s">
        <v>576</v>
      </c>
      <c r="AP4" s="193" t="s">
        <v>576</v>
      </c>
      <c r="AQ4" s="193" t="s">
        <v>432</v>
      </c>
      <c r="AR4" s="193" t="s">
        <v>433</v>
      </c>
      <c r="AS4" s="193" t="s">
        <v>432</v>
      </c>
      <c r="AT4" s="193" t="s">
        <v>433</v>
      </c>
      <c r="AU4" s="187"/>
    </row>
    <row r="5" spans="1:47" ht="14.25" customHeight="1" thickBot="1" x14ac:dyDescent="0.2">
      <c r="A5" s="187"/>
      <c r="B5" s="220" t="s">
        <v>615</v>
      </c>
      <c r="C5" s="221" t="s">
        <v>39</v>
      </c>
      <c r="D5" s="222" t="s">
        <v>583</v>
      </c>
      <c r="E5" s="187"/>
      <c r="F5" s="288" t="s">
        <v>616</v>
      </c>
      <c r="G5" s="357"/>
      <c r="H5" s="363" t="s">
        <v>22</v>
      </c>
      <c r="I5" s="364"/>
      <c r="J5" s="251" t="s">
        <v>20</v>
      </c>
      <c r="K5" s="251" t="s">
        <v>4</v>
      </c>
      <c r="L5" s="251" t="s">
        <v>622</v>
      </c>
      <c r="M5" s="250" t="s">
        <v>4</v>
      </c>
      <c r="N5" s="252" t="s">
        <v>620</v>
      </c>
      <c r="O5" s="187"/>
      <c r="P5" s="361"/>
      <c r="Q5" s="365" t="s">
        <v>22</v>
      </c>
      <c r="R5" s="366"/>
      <c r="S5" s="312" t="s">
        <v>20</v>
      </c>
      <c r="T5" s="312" t="s">
        <v>4</v>
      </c>
      <c r="U5" s="312" t="s">
        <v>4</v>
      </c>
      <c r="V5" s="312" t="s">
        <v>621</v>
      </c>
      <c r="W5" s="312" t="s">
        <v>620</v>
      </c>
      <c r="X5" s="312" t="s">
        <v>618</v>
      </c>
      <c r="Y5" s="312" t="s">
        <v>619</v>
      </c>
      <c r="Z5" s="313" t="s">
        <v>618</v>
      </c>
      <c r="AA5" s="362"/>
      <c r="AB5" s="165" t="s">
        <v>439</v>
      </c>
      <c r="AC5" s="165" t="s">
        <v>439</v>
      </c>
      <c r="AD5" s="165" t="s">
        <v>439</v>
      </c>
      <c r="AE5" s="200" t="s">
        <v>440</v>
      </c>
      <c r="AF5" s="200" t="s">
        <v>45</v>
      </c>
      <c r="AG5" s="200" t="s">
        <v>45</v>
      </c>
      <c r="AH5" s="200" t="s">
        <v>438</v>
      </c>
      <c r="AI5" s="200" t="s">
        <v>441</v>
      </c>
      <c r="AJ5" s="200" t="s">
        <v>442</v>
      </c>
      <c r="AK5" s="201" t="s">
        <v>443</v>
      </c>
      <c r="AL5" s="200" t="s">
        <v>440</v>
      </c>
      <c r="AM5" s="197" t="s">
        <v>45</v>
      </c>
      <c r="AN5" s="197" t="s">
        <v>45</v>
      </c>
      <c r="AO5" s="197" t="s">
        <v>577</v>
      </c>
      <c r="AP5" s="197" t="s">
        <v>578</v>
      </c>
      <c r="AQ5" s="200" t="s">
        <v>444</v>
      </c>
      <c r="AR5" s="200" t="s">
        <v>444</v>
      </c>
      <c r="AS5" s="200" t="s">
        <v>444</v>
      </c>
      <c r="AT5" s="200" t="s">
        <v>444</v>
      </c>
      <c r="AU5" s="187"/>
    </row>
    <row r="6" spans="1:47" ht="14.25" customHeight="1" x14ac:dyDescent="0.15">
      <c r="A6" s="187"/>
      <c r="B6" s="223">
        <v>2</v>
      </c>
      <c r="C6" s="281" t="s">
        <v>21</v>
      </c>
      <c r="D6" s="224"/>
      <c r="E6" s="187"/>
      <c r="F6" s="289">
        <v>2</v>
      </c>
      <c r="G6" s="298" t="str">
        <f t="shared" ref="G6:G45" si="0">IF(F6=0,0,VLOOKUP(F6,器具等コード,2,FALSE))</f>
        <v>分岐</v>
      </c>
      <c r="H6" s="167"/>
      <c r="I6" s="166">
        <v>50</v>
      </c>
      <c r="J6" s="39">
        <v>2</v>
      </c>
      <c r="K6" s="37"/>
      <c r="L6" s="37"/>
      <c r="M6" s="183">
        <v>1</v>
      </c>
      <c r="N6" s="292"/>
      <c r="O6" s="187">
        <v>1</v>
      </c>
      <c r="P6" s="304" t="str">
        <f>G6</f>
        <v>分岐</v>
      </c>
      <c r="Q6" s="305">
        <f>H6</f>
        <v>0</v>
      </c>
      <c r="R6" s="306">
        <f>I6</f>
        <v>50</v>
      </c>
      <c r="S6" s="307">
        <f>J6</f>
        <v>2</v>
      </c>
      <c r="T6" s="308">
        <f>K6</f>
        <v>0</v>
      </c>
      <c r="U6" s="307" t="str">
        <f>IF(J6=0,IF(K6=0,0,VLOOKUP(K6,同時開栓数,3)),"")</f>
        <v/>
      </c>
      <c r="V6" s="309">
        <f t="shared" ref="V6:V45" si="1">ROUND(L6/60,2)</f>
        <v>0</v>
      </c>
      <c r="W6" s="310">
        <f t="shared" ref="W6:W45" si="2">IF(N6=0,IF(J6=0,IF(U6=0,0,L6*U6/60),IF(J6&gt;10,AT6,AS6)),N6)</f>
        <v>0.9</v>
      </c>
      <c r="X6" s="310" t="str">
        <f t="shared" ref="X6:X45" si="3">IF(M6=1,AC6,AC6&amp;"*"&amp;M6)</f>
        <v>1.00</v>
      </c>
      <c r="Y6" s="311">
        <f>IF(AP6&gt;50,AG6,AF6)</f>
        <v>6.5</v>
      </c>
      <c r="Z6" s="275">
        <f t="shared" ref="Z6:Z45" si="4">ROUND(AD6*Y6/1000,2)</f>
        <v>0.01</v>
      </c>
      <c r="AA6" s="187" t="str">
        <f t="shared" ref="AA6:AA45" si="5">IF(AE6&lt;2.1,"ok","out")</f>
        <v>ok</v>
      </c>
      <c r="AB6" s="38">
        <f t="shared" ref="AB6:AB45" si="6">IF(F6=0,0,VLOOKUP(AO6,管延長,F6))</f>
        <v>1</v>
      </c>
      <c r="AC6" s="38" t="str">
        <f>IF(AB6=0,0,TEXT(AB6,"0.00"))</f>
        <v>1.00</v>
      </c>
      <c r="AD6" s="38">
        <f t="shared" ref="AD6:AD45" si="7">AB6*M6</f>
        <v>1</v>
      </c>
      <c r="AE6" s="202">
        <f t="shared" ref="AE6:AE45" si="8">ROUND(AL6,1)</f>
        <v>0.5</v>
      </c>
      <c r="AF6" s="203">
        <f t="shared" ref="AF6:AG21" si="9">IF(AM6&lt;11,ROUND(AM6,1),ROUND(AM6,0))</f>
        <v>6.5</v>
      </c>
      <c r="AG6" s="203">
        <f t="shared" si="9"/>
        <v>9</v>
      </c>
      <c r="AH6" s="204">
        <v>110</v>
      </c>
      <c r="AI6" s="205">
        <f>W6/1000</f>
        <v>8.9999999999999998E-4</v>
      </c>
      <c r="AJ6" s="206">
        <f t="shared" ref="AJ6:AJ45" si="10">W6*60</f>
        <v>54</v>
      </c>
      <c r="AK6" s="207">
        <f t="shared" ref="AK6:AK45" si="11">PI()*(I6/1000)^2/4</f>
        <v>1.9634954084936209E-3</v>
      </c>
      <c r="AL6" s="205">
        <f>IF(AI6=0,0,AI6/AK6)</f>
        <v>0.45836623610465854</v>
      </c>
      <c r="AM6" s="202">
        <f t="shared" ref="AM6:AM45" si="12">IF(I6=0,0,(0.0126+(0.01739-0.1087*I6/1000)/POWER(AL6,1/2))/I6*1000000*POWER(AL6,2)/2/9.8)</f>
        <v>6.4869478677759895</v>
      </c>
      <c r="AN6" s="208">
        <f t="shared" ref="AN6:AN45" si="13">IF(I6=0,0,(10.666*AH6^-1.85*(I6/1000)^-4.87*AI6^1.85)*1000)</f>
        <v>8.9699460949279075</v>
      </c>
      <c r="AO6" s="203">
        <f t="shared" ref="AO6:AO45" si="14">MAX(H6:I6)</f>
        <v>50</v>
      </c>
      <c r="AP6" s="203">
        <f t="shared" ref="AP6:AP45" si="15">MIN(H6:I6)</f>
        <v>50</v>
      </c>
      <c r="AQ6" s="208">
        <f t="shared" ref="AQ6:AQ45" si="16">ROUND(42*J6^0.33/60,2)</f>
        <v>0.88</v>
      </c>
      <c r="AR6" s="208">
        <f t="shared" ref="AR6:AR45" si="17">ROUND(19*J6^0.67/60,2)</f>
        <v>0.5</v>
      </c>
      <c r="AS6" s="208">
        <f>ROUND(AQ6,1)</f>
        <v>0.9</v>
      </c>
      <c r="AT6" s="208">
        <f>ROUND(AR6,1)</f>
        <v>0.5</v>
      </c>
      <c r="AU6" s="187"/>
    </row>
    <row r="7" spans="1:47" ht="14.25" customHeight="1" x14ac:dyDescent="0.15">
      <c r="A7" s="187"/>
      <c r="B7" s="223">
        <v>3</v>
      </c>
      <c r="C7" s="281" t="s">
        <v>31</v>
      </c>
      <c r="D7" s="225"/>
      <c r="E7" s="187"/>
      <c r="F7" s="289">
        <v>15</v>
      </c>
      <c r="G7" s="298" t="str">
        <f t="shared" si="0"/>
        <v>Ａ～Ｂ</v>
      </c>
      <c r="H7" s="167"/>
      <c r="I7" s="166">
        <v>50</v>
      </c>
      <c r="J7" s="39"/>
      <c r="K7" s="37">
        <v>15</v>
      </c>
      <c r="L7" s="37">
        <v>12</v>
      </c>
      <c r="M7" s="183">
        <v>1</v>
      </c>
      <c r="N7" s="292"/>
      <c r="O7" s="187">
        <v>2</v>
      </c>
      <c r="P7" s="303" t="str">
        <f t="shared" ref="P7:P45" si="18">G7</f>
        <v>Ａ～Ｂ</v>
      </c>
      <c r="Q7" s="300">
        <f t="shared" ref="Q7:Q45" si="19">H7</f>
        <v>0</v>
      </c>
      <c r="R7" s="301">
        <f t="shared" ref="R7:R45" si="20">I7</f>
        <v>50</v>
      </c>
      <c r="S7" s="199">
        <f t="shared" ref="S7:S45" si="21">J7</f>
        <v>0</v>
      </c>
      <c r="T7" s="302">
        <f t="shared" ref="T7:T45" si="22">K7</f>
        <v>15</v>
      </c>
      <c r="U7" s="199">
        <f t="shared" ref="U7:U45" si="23">IF(K7=0,0,VLOOKUP(K7,同時開栓数,3))</f>
        <v>4</v>
      </c>
      <c r="V7" s="277">
        <f t="shared" si="1"/>
        <v>0.2</v>
      </c>
      <c r="W7" s="255">
        <f t="shared" si="2"/>
        <v>0.8</v>
      </c>
      <c r="X7" s="255" t="str">
        <f t="shared" si="3"/>
        <v>1000.00</v>
      </c>
      <c r="Y7" s="278">
        <f t="shared" ref="Y7:Y45" si="24">IF(AP7&gt;50,AG7,AF7)</f>
        <v>5.3</v>
      </c>
      <c r="Z7" s="256">
        <f t="shared" si="4"/>
        <v>5.3</v>
      </c>
      <c r="AA7" s="187" t="str">
        <f t="shared" si="5"/>
        <v>ok</v>
      </c>
      <c r="AB7" s="38">
        <f t="shared" si="6"/>
        <v>1000</v>
      </c>
      <c r="AC7" s="38" t="str">
        <f t="shared" ref="AC7:AC45" si="25">IF(AB7=0,0,TEXT(AB7,"0.00"))</f>
        <v>1000.00</v>
      </c>
      <c r="AD7" s="38">
        <f t="shared" si="7"/>
        <v>1000</v>
      </c>
      <c r="AE7" s="202">
        <f t="shared" si="8"/>
        <v>0.4</v>
      </c>
      <c r="AF7" s="203">
        <f t="shared" si="9"/>
        <v>5.3</v>
      </c>
      <c r="AG7" s="203">
        <f t="shared" si="9"/>
        <v>7.2</v>
      </c>
      <c r="AH7" s="204">
        <v>110</v>
      </c>
      <c r="AI7" s="205">
        <f>W7/1000</f>
        <v>8.0000000000000004E-4</v>
      </c>
      <c r="AJ7" s="206">
        <f t="shared" si="10"/>
        <v>48</v>
      </c>
      <c r="AK7" s="207">
        <f t="shared" si="11"/>
        <v>1.9634954084936209E-3</v>
      </c>
      <c r="AL7" s="205">
        <f t="shared" ref="AL7:AL45" si="26">IF(AI7=0,0,AI7/AK7)</f>
        <v>0.40743665431525206</v>
      </c>
      <c r="AM7" s="202">
        <f t="shared" si="12"/>
        <v>5.3069330103953574</v>
      </c>
      <c r="AN7" s="208">
        <f t="shared" si="13"/>
        <v>7.2136931815635981</v>
      </c>
      <c r="AO7" s="203">
        <f t="shared" si="14"/>
        <v>50</v>
      </c>
      <c r="AP7" s="203">
        <f t="shared" si="15"/>
        <v>50</v>
      </c>
      <c r="AQ7" s="208">
        <f t="shared" si="16"/>
        <v>0</v>
      </c>
      <c r="AR7" s="208">
        <f t="shared" si="17"/>
        <v>0</v>
      </c>
      <c r="AS7" s="208">
        <f t="shared" ref="AS7:AT45" si="27">ROUND(AQ7,1)</f>
        <v>0</v>
      </c>
      <c r="AT7" s="208">
        <f t="shared" si="27"/>
        <v>0</v>
      </c>
      <c r="AU7" s="187"/>
    </row>
    <row r="8" spans="1:47" ht="14.25" customHeight="1" x14ac:dyDescent="0.15">
      <c r="A8" s="187"/>
      <c r="B8" s="223">
        <v>4</v>
      </c>
      <c r="C8" s="281" t="s">
        <v>573</v>
      </c>
      <c r="D8" s="225"/>
      <c r="E8" s="187"/>
      <c r="F8" s="289">
        <v>3</v>
      </c>
      <c r="G8" s="298" t="str">
        <f t="shared" si="0"/>
        <v>仕切弁</v>
      </c>
      <c r="H8" s="167"/>
      <c r="I8" s="166">
        <v>50</v>
      </c>
      <c r="J8" s="39"/>
      <c r="K8" s="37">
        <v>15</v>
      </c>
      <c r="L8" s="37">
        <v>12</v>
      </c>
      <c r="M8" s="183">
        <v>1</v>
      </c>
      <c r="N8" s="292"/>
      <c r="O8" s="187">
        <v>3</v>
      </c>
      <c r="P8" s="303" t="str">
        <f t="shared" si="18"/>
        <v>仕切弁</v>
      </c>
      <c r="Q8" s="300">
        <f t="shared" si="19"/>
        <v>0</v>
      </c>
      <c r="R8" s="301">
        <f t="shared" si="20"/>
        <v>50</v>
      </c>
      <c r="S8" s="199">
        <f t="shared" si="21"/>
        <v>0</v>
      </c>
      <c r="T8" s="302">
        <f t="shared" si="22"/>
        <v>15</v>
      </c>
      <c r="U8" s="199">
        <f t="shared" si="23"/>
        <v>4</v>
      </c>
      <c r="V8" s="277">
        <f t="shared" si="1"/>
        <v>0.2</v>
      </c>
      <c r="W8" s="255">
        <f t="shared" si="2"/>
        <v>0.8</v>
      </c>
      <c r="X8" s="255" t="str">
        <f t="shared" si="3"/>
        <v>0.39</v>
      </c>
      <c r="Y8" s="278">
        <f t="shared" si="24"/>
        <v>5.3</v>
      </c>
      <c r="Z8" s="256">
        <f t="shared" si="4"/>
        <v>0</v>
      </c>
      <c r="AA8" s="187" t="str">
        <f t="shared" si="5"/>
        <v>ok</v>
      </c>
      <c r="AB8" s="38">
        <f t="shared" si="6"/>
        <v>0.39</v>
      </c>
      <c r="AC8" s="38" t="str">
        <f t="shared" si="25"/>
        <v>0.39</v>
      </c>
      <c r="AD8" s="38">
        <f t="shared" si="7"/>
        <v>0.39</v>
      </c>
      <c r="AE8" s="202">
        <f t="shared" si="8"/>
        <v>0.4</v>
      </c>
      <c r="AF8" s="203">
        <f t="shared" si="9"/>
        <v>5.3</v>
      </c>
      <c r="AG8" s="203">
        <f t="shared" si="9"/>
        <v>7.2</v>
      </c>
      <c r="AH8" s="204">
        <v>110</v>
      </c>
      <c r="AI8" s="205">
        <f>W8/1000</f>
        <v>8.0000000000000004E-4</v>
      </c>
      <c r="AJ8" s="206">
        <f t="shared" si="10"/>
        <v>48</v>
      </c>
      <c r="AK8" s="207">
        <f t="shared" si="11"/>
        <v>1.9634954084936209E-3</v>
      </c>
      <c r="AL8" s="205">
        <f t="shared" si="26"/>
        <v>0.40743665431525206</v>
      </c>
      <c r="AM8" s="202">
        <f t="shared" si="12"/>
        <v>5.3069330103953574</v>
      </c>
      <c r="AN8" s="208">
        <f t="shared" si="13"/>
        <v>7.2136931815635981</v>
      </c>
      <c r="AO8" s="203">
        <f t="shared" si="14"/>
        <v>50</v>
      </c>
      <c r="AP8" s="203">
        <f t="shared" si="15"/>
        <v>50</v>
      </c>
      <c r="AQ8" s="208">
        <f t="shared" si="16"/>
        <v>0</v>
      </c>
      <c r="AR8" s="208">
        <f t="shared" si="17"/>
        <v>0</v>
      </c>
      <c r="AS8" s="208">
        <f t="shared" si="27"/>
        <v>0</v>
      </c>
      <c r="AT8" s="208">
        <f t="shared" si="27"/>
        <v>0</v>
      </c>
      <c r="AU8" s="187"/>
    </row>
    <row r="9" spans="1:47" ht="14.25" customHeight="1" x14ac:dyDescent="0.15">
      <c r="A9" s="187"/>
      <c r="B9" s="223">
        <v>5</v>
      </c>
      <c r="C9" s="281" t="s">
        <v>9</v>
      </c>
      <c r="D9" s="225"/>
      <c r="E9" s="187"/>
      <c r="F9" s="290">
        <v>16</v>
      </c>
      <c r="G9" s="298" t="str">
        <f t="shared" si="0"/>
        <v>Ｂ～Ｃ</v>
      </c>
      <c r="H9" s="167"/>
      <c r="I9" s="166">
        <v>50</v>
      </c>
      <c r="J9" s="39"/>
      <c r="K9" s="37">
        <v>15</v>
      </c>
      <c r="L9" s="37">
        <v>12</v>
      </c>
      <c r="M9" s="183">
        <v>1</v>
      </c>
      <c r="N9" s="292"/>
      <c r="O9" s="187">
        <v>4</v>
      </c>
      <c r="P9" s="303" t="str">
        <f t="shared" si="18"/>
        <v>Ｂ～Ｃ</v>
      </c>
      <c r="Q9" s="300">
        <f t="shared" si="19"/>
        <v>0</v>
      </c>
      <c r="R9" s="301">
        <f t="shared" si="20"/>
        <v>50</v>
      </c>
      <c r="S9" s="199">
        <f t="shared" si="21"/>
        <v>0</v>
      </c>
      <c r="T9" s="302">
        <f t="shared" si="22"/>
        <v>15</v>
      </c>
      <c r="U9" s="199">
        <f t="shared" si="23"/>
        <v>4</v>
      </c>
      <c r="V9" s="277">
        <f t="shared" si="1"/>
        <v>0.2</v>
      </c>
      <c r="W9" s="255">
        <f t="shared" si="2"/>
        <v>0.8</v>
      </c>
      <c r="X9" s="255" t="str">
        <f t="shared" si="3"/>
        <v>10.00</v>
      </c>
      <c r="Y9" s="278">
        <f t="shared" si="24"/>
        <v>5.3</v>
      </c>
      <c r="Z9" s="256">
        <f t="shared" si="4"/>
        <v>0.05</v>
      </c>
      <c r="AA9" s="187" t="str">
        <f t="shared" si="5"/>
        <v>ok</v>
      </c>
      <c r="AB9" s="38">
        <f t="shared" si="6"/>
        <v>10</v>
      </c>
      <c r="AC9" s="38" t="str">
        <f t="shared" si="25"/>
        <v>10.00</v>
      </c>
      <c r="AD9" s="38">
        <f t="shared" si="7"/>
        <v>10</v>
      </c>
      <c r="AE9" s="202">
        <f t="shared" si="8"/>
        <v>0.4</v>
      </c>
      <c r="AF9" s="203">
        <f t="shared" si="9"/>
        <v>5.3</v>
      </c>
      <c r="AG9" s="203">
        <f t="shared" si="9"/>
        <v>7.2</v>
      </c>
      <c r="AH9" s="204">
        <v>110</v>
      </c>
      <c r="AI9" s="205">
        <f>W9/1000</f>
        <v>8.0000000000000004E-4</v>
      </c>
      <c r="AJ9" s="206">
        <f t="shared" si="10"/>
        <v>48</v>
      </c>
      <c r="AK9" s="207">
        <f t="shared" si="11"/>
        <v>1.9634954084936209E-3</v>
      </c>
      <c r="AL9" s="205">
        <f t="shared" si="26"/>
        <v>0.40743665431525206</v>
      </c>
      <c r="AM9" s="202">
        <f t="shared" si="12"/>
        <v>5.3069330103953574</v>
      </c>
      <c r="AN9" s="208">
        <f t="shared" si="13"/>
        <v>7.2136931815635981</v>
      </c>
      <c r="AO9" s="203">
        <f t="shared" si="14"/>
        <v>50</v>
      </c>
      <c r="AP9" s="203">
        <f t="shared" si="15"/>
        <v>50</v>
      </c>
      <c r="AQ9" s="208">
        <f t="shared" si="16"/>
        <v>0</v>
      </c>
      <c r="AR9" s="208">
        <f t="shared" si="17"/>
        <v>0</v>
      </c>
      <c r="AS9" s="208">
        <f t="shared" si="27"/>
        <v>0</v>
      </c>
      <c r="AT9" s="208">
        <f t="shared" si="27"/>
        <v>0</v>
      </c>
      <c r="AU9" s="187"/>
    </row>
    <row r="10" spans="1:47" ht="14.25" customHeight="1" x14ac:dyDescent="0.15">
      <c r="A10" s="187"/>
      <c r="B10" s="223">
        <v>6</v>
      </c>
      <c r="C10" s="281" t="s">
        <v>589</v>
      </c>
      <c r="D10" s="225"/>
      <c r="E10" s="187"/>
      <c r="F10" s="290">
        <v>8</v>
      </c>
      <c r="G10" s="298" t="str">
        <f t="shared" si="0"/>
        <v>異径</v>
      </c>
      <c r="H10" s="167">
        <v>50</v>
      </c>
      <c r="I10" s="166">
        <v>25</v>
      </c>
      <c r="J10" s="39"/>
      <c r="K10" s="37">
        <v>15</v>
      </c>
      <c r="L10" s="37">
        <v>12</v>
      </c>
      <c r="M10" s="183">
        <v>1</v>
      </c>
      <c r="N10" s="292"/>
      <c r="O10" s="187">
        <v>5</v>
      </c>
      <c r="P10" s="303" t="str">
        <f t="shared" si="18"/>
        <v>異径</v>
      </c>
      <c r="Q10" s="300">
        <f t="shared" si="19"/>
        <v>50</v>
      </c>
      <c r="R10" s="301">
        <f t="shared" si="20"/>
        <v>25</v>
      </c>
      <c r="S10" s="199">
        <f t="shared" si="21"/>
        <v>0</v>
      </c>
      <c r="T10" s="302">
        <f t="shared" si="22"/>
        <v>15</v>
      </c>
      <c r="U10" s="199">
        <f t="shared" si="23"/>
        <v>4</v>
      </c>
      <c r="V10" s="277">
        <f t="shared" si="1"/>
        <v>0.2</v>
      </c>
      <c r="W10" s="255">
        <f t="shared" si="2"/>
        <v>0.8</v>
      </c>
      <c r="X10" s="255" t="str">
        <f t="shared" si="3"/>
        <v>1.00</v>
      </c>
      <c r="Y10" s="278">
        <f t="shared" si="24"/>
        <v>131</v>
      </c>
      <c r="Z10" s="256">
        <f t="shared" si="4"/>
        <v>0.13</v>
      </c>
      <c r="AA10" s="187" t="str">
        <f t="shared" si="5"/>
        <v>ok</v>
      </c>
      <c r="AB10" s="38">
        <f t="shared" si="6"/>
        <v>1</v>
      </c>
      <c r="AC10" s="38" t="str">
        <f t="shared" si="25"/>
        <v>1.00</v>
      </c>
      <c r="AD10" s="38">
        <f t="shared" si="7"/>
        <v>1</v>
      </c>
      <c r="AE10" s="202">
        <f t="shared" si="8"/>
        <v>1.6</v>
      </c>
      <c r="AF10" s="203">
        <f t="shared" si="9"/>
        <v>131</v>
      </c>
      <c r="AG10" s="203">
        <f t="shared" si="9"/>
        <v>211</v>
      </c>
      <c r="AH10" s="204">
        <v>110</v>
      </c>
      <c r="AI10" s="205">
        <f t="shared" ref="AI10:AI45" si="28">W10/1000</f>
        <v>8.0000000000000004E-4</v>
      </c>
      <c r="AJ10" s="206">
        <f t="shared" si="10"/>
        <v>48</v>
      </c>
      <c r="AK10" s="207">
        <f t="shared" si="11"/>
        <v>4.9087385212340522E-4</v>
      </c>
      <c r="AL10" s="205">
        <f t="shared" si="26"/>
        <v>1.6297466172610082</v>
      </c>
      <c r="AM10" s="202">
        <f t="shared" si="12"/>
        <v>130.59906442870553</v>
      </c>
      <c r="AN10" s="208">
        <f t="shared" si="13"/>
        <v>210.94719045178238</v>
      </c>
      <c r="AO10" s="203">
        <f t="shared" si="14"/>
        <v>50</v>
      </c>
      <c r="AP10" s="203">
        <f t="shared" si="15"/>
        <v>25</v>
      </c>
      <c r="AQ10" s="208">
        <f t="shared" si="16"/>
        <v>0</v>
      </c>
      <c r="AR10" s="208">
        <f t="shared" si="17"/>
        <v>0</v>
      </c>
      <c r="AS10" s="208">
        <f t="shared" si="27"/>
        <v>0</v>
      </c>
      <c r="AT10" s="208">
        <f t="shared" si="27"/>
        <v>0</v>
      </c>
      <c r="AU10" s="187"/>
    </row>
    <row r="11" spans="1:47" ht="14.25" customHeight="1" x14ac:dyDescent="0.15">
      <c r="A11" s="187"/>
      <c r="B11" s="223">
        <v>7</v>
      </c>
      <c r="C11" s="281" t="s">
        <v>5</v>
      </c>
      <c r="D11" s="225"/>
      <c r="E11" s="187"/>
      <c r="F11" s="290">
        <v>4</v>
      </c>
      <c r="G11" s="298" t="str">
        <f t="shared" si="0"/>
        <v>乙（旧）止水栓</v>
      </c>
      <c r="H11" s="167"/>
      <c r="I11" s="166">
        <v>25</v>
      </c>
      <c r="J11" s="39"/>
      <c r="K11" s="37">
        <v>15</v>
      </c>
      <c r="L11" s="37">
        <v>12</v>
      </c>
      <c r="M11" s="183">
        <v>1</v>
      </c>
      <c r="N11" s="292"/>
      <c r="O11" s="187">
        <v>6</v>
      </c>
      <c r="P11" s="303" t="str">
        <f t="shared" si="18"/>
        <v>乙（旧）止水栓</v>
      </c>
      <c r="Q11" s="300">
        <f t="shared" si="19"/>
        <v>0</v>
      </c>
      <c r="R11" s="301">
        <f t="shared" si="20"/>
        <v>25</v>
      </c>
      <c r="S11" s="199">
        <f t="shared" si="21"/>
        <v>0</v>
      </c>
      <c r="T11" s="302">
        <f t="shared" si="22"/>
        <v>15</v>
      </c>
      <c r="U11" s="199">
        <f t="shared" si="23"/>
        <v>4</v>
      </c>
      <c r="V11" s="277">
        <f t="shared" si="1"/>
        <v>0.2</v>
      </c>
      <c r="W11" s="255">
        <f t="shared" si="2"/>
        <v>0.8</v>
      </c>
      <c r="X11" s="255" t="str">
        <f t="shared" si="3"/>
        <v>3.00</v>
      </c>
      <c r="Y11" s="278">
        <f t="shared" si="24"/>
        <v>131</v>
      </c>
      <c r="Z11" s="256">
        <f t="shared" si="4"/>
        <v>0.39</v>
      </c>
      <c r="AA11" s="187" t="str">
        <f t="shared" si="5"/>
        <v>ok</v>
      </c>
      <c r="AB11" s="38">
        <f t="shared" si="6"/>
        <v>3</v>
      </c>
      <c r="AC11" s="38" t="str">
        <f t="shared" si="25"/>
        <v>3.00</v>
      </c>
      <c r="AD11" s="38">
        <f t="shared" si="7"/>
        <v>3</v>
      </c>
      <c r="AE11" s="202">
        <f t="shared" si="8"/>
        <v>1.6</v>
      </c>
      <c r="AF11" s="203">
        <f t="shared" si="9"/>
        <v>131</v>
      </c>
      <c r="AG11" s="203">
        <f t="shared" si="9"/>
        <v>211</v>
      </c>
      <c r="AH11" s="204">
        <v>110</v>
      </c>
      <c r="AI11" s="205">
        <f t="shared" si="28"/>
        <v>8.0000000000000004E-4</v>
      </c>
      <c r="AJ11" s="206">
        <f t="shared" si="10"/>
        <v>48</v>
      </c>
      <c r="AK11" s="207">
        <f t="shared" si="11"/>
        <v>4.9087385212340522E-4</v>
      </c>
      <c r="AL11" s="205">
        <f t="shared" si="26"/>
        <v>1.6297466172610082</v>
      </c>
      <c r="AM11" s="202">
        <f t="shared" si="12"/>
        <v>130.59906442870553</v>
      </c>
      <c r="AN11" s="208">
        <f t="shared" si="13"/>
        <v>210.94719045178238</v>
      </c>
      <c r="AO11" s="203">
        <f t="shared" si="14"/>
        <v>25</v>
      </c>
      <c r="AP11" s="203">
        <f t="shared" si="15"/>
        <v>25</v>
      </c>
      <c r="AQ11" s="208">
        <f t="shared" si="16"/>
        <v>0</v>
      </c>
      <c r="AR11" s="208">
        <f t="shared" si="17"/>
        <v>0</v>
      </c>
      <c r="AS11" s="208">
        <f t="shared" si="27"/>
        <v>0</v>
      </c>
      <c r="AT11" s="208">
        <f t="shared" si="27"/>
        <v>0</v>
      </c>
      <c r="AU11" s="187"/>
    </row>
    <row r="12" spans="1:47" ht="14.25" customHeight="1" x14ac:dyDescent="0.15">
      <c r="A12" s="187"/>
      <c r="B12" s="223">
        <v>8</v>
      </c>
      <c r="C12" s="282" t="s">
        <v>13</v>
      </c>
      <c r="D12" s="225"/>
      <c r="E12" s="187"/>
      <c r="F12" s="290">
        <v>17</v>
      </c>
      <c r="G12" s="298" t="str">
        <f t="shared" si="0"/>
        <v>Ｃ～Ｄ</v>
      </c>
      <c r="H12" s="167"/>
      <c r="I12" s="166">
        <v>25</v>
      </c>
      <c r="J12" s="39"/>
      <c r="K12" s="37">
        <v>15</v>
      </c>
      <c r="L12" s="37">
        <v>12</v>
      </c>
      <c r="M12" s="183">
        <v>1</v>
      </c>
      <c r="N12" s="292"/>
      <c r="O12" s="187">
        <v>7</v>
      </c>
      <c r="P12" s="303" t="str">
        <f t="shared" si="18"/>
        <v>Ｃ～Ｄ</v>
      </c>
      <c r="Q12" s="300">
        <f t="shared" si="19"/>
        <v>0</v>
      </c>
      <c r="R12" s="301">
        <f t="shared" si="20"/>
        <v>25</v>
      </c>
      <c r="S12" s="199">
        <f t="shared" si="21"/>
        <v>0</v>
      </c>
      <c r="T12" s="302">
        <f t="shared" si="22"/>
        <v>15</v>
      </c>
      <c r="U12" s="199">
        <f t="shared" si="23"/>
        <v>4</v>
      </c>
      <c r="V12" s="277">
        <f t="shared" si="1"/>
        <v>0.2</v>
      </c>
      <c r="W12" s="255">
        <f t="shared" si="2"/>
        <v>0.8</v>
      </c>
      <c r="X12" s="255" t="str">
        <f t="shared" si="3"/>
        <v>2.00</v>
      </c>
      <c r="Y12" s="278">
        <f t="shared" si="24"/>
        <v>131</v>
      </c>
      <c r="Z12" s="256">
        <f t="shared" si="4"/>
        <v>0.26</v>
      </c>
      <c r="AA12" s="187" t="str">
        <f t="shared" si="5"/>
        <v>ok</v>
      </c>
      <c r="AB12" s="38">
        <f t="shared" si="6"/>
        <v>2</v>
      </c>
      <c r="AC12" s="38" t="str">
        <f t="shared" si="25"/>
        <v>2.00</v>
      </c>
      <c r="AD12" s="38">
        <f t="shared" si="7"/>
        <v>2</v>
      </c>
      <c r="AE12" s="202">
        <f t="shared" si="8"/>
        <v>1.6</v>
      </c>
      <c r="AF12" s="203">
        <f t="shared" si="9"/>
        <v>131</v>
      </c>
      <c r="AG12" s="203">
        <f t="shared" si="9"/>
        <v>211</v>
      </c>
      <c r="AH12" s="204">
        <v>110</v>
      </c>
      <c r="AI12" s="205">
        <f t="shared" si="28"/>
        <v>8.0000000000000004E-4</v>
      </c>
      <c r="AJ12" s="206">
        <f t="shared" si="10"/>
        <v>48</v>
      </c>
      <c r="AK12" s="207">
        <f t="shared" si="11"/>
        <v>4.9087385212340522E-4</v>
      </c>
      <c r="AL12" s="205">
        <f t="shared" si="26"/>
        <v>1.6297466172610082</v>
      </c>
      <c r="AM12" s="202">
        <f t="shared" si="12"/>
        <v>130.59906442870553</v>
      </c>
      <c r="AN12" s="208">
        <f t="shared" si="13"/>
        <v>210.94719045178238</v>
      </c>
      <c r="AO12" s="203">
        <f t="shared" si="14"/>
        <v>25</v>
      </c>
      <c r="AP12" s="203">
        <f t="shared" si="15"/>
        <v>25</v>
      </c>
      <c r="AQ12" s="208">
        <f t="shared" si="16"/>
        <v>0</v>
      </c>
      <c r="AR12" s="208">
        <f t="shared" si="17"/>
        <v>0</v>
      </c>
      <c r="AS12" s="208">
        <f t="shared" si="27"/>
        <v>0</v>
      </c>
      <c r="AT12" s="208">
        <f t="shared" si="27"/>
        <v>0</v>
      </c>
      <c r="AU12" s="187"/>
    </row>
    <row r="13" spans="1:47" ht="14.25" customHeight="1" x14ac:dyDescent="0.15">
      <c r="A13" s="187"/>
      <c r="B13" s="223">
        <v>9</v>
      </c>
      <c r="C13" s="282" t="s">
        <v>12</v>
      </c>
      <c r="D13" s="226"/>
      <c r="E13" s="187"/>
      <c r="F13" s="290">
        <v>5</v>
      </c>
      <c r="G13" s="298" t="str">
        <f t="shared" si="0"/>
        <v>甲乙丙</v>
      </c>
      <c r="H13" s="167"/>
      <c r="I13" s="166">
        <v>25</v>
      </c>
      <c r="J13" s="39"/>
      <c r="K13" s="37">
        <v>15</v>
      </c>
      <c r="L13" s="37">
        <v>12</v>
      </c>
      <c r="M13" s="183">
        <v>1</v>
      </c>
      <c r="N13" s="292"/>
      <c r="O13" s="187">
        <v>8</v>
      </c>
      <c r="P13" s="303" t="str">
        <f t="shared" si="18"/>
        <v>甲乙丙</v>
      </c>
      <c r="Q13" s="300">
        <f t="shared" si="19"/>
        <v>0</v>
      </c>
      <c r="R13" s="301">
        <f t="shared" si="20"/>
        <v>25</v>
      </c>
      <c r="S13" s="199">
        <f t="shared" si="21"/>
        <v>0</v>
      </c>
      <c r="T13" s="302">
        <f t="shared" si="22"/>
        <v>15</v>
      </c>
      <c r="U13" s="199">
        <f t="shared" si="23"/>
        <v>4</v>
      </c>
      <c r="V13" s="277">
        <f t="shared" si="1"/>
        <v>0.2</v>
      </c>
      <c r="W13" s="255">
        <f t="shared" si="2"/>
        <v>0.8</v>
      </c>
      <c r="X13" s="255" t="str">
        <f t="shared" si="3"/>
        <v>0.18</v>
      </c>
      <c r="Y13" s="278">
        <f t="shared" si="24"/>
        <v>131</v>
      </c>
      <c r="Z13" s="256">
        <f t="shared" si="4"/>
        <v>0.02</v>
      </c>
      <c r="AA13" s="187" t="str">
        <f t="shared" si="5"/>
        <v>ok</v>
      </c>
      <c r="AB13" s="38">
        <f t="shared" si="6"/>
        <v>0.18</v>
      </c>
      <c r="AC13" s="38" t="str">
        <f t="shared" si="25"/>
        <v>0.18</v>
      </c>
      <c r="AD13" s="38">
        <f t="shared" si="7"/>
        <v>0.18</v>
      </c>
      <c r="AE13" s="202">
        <f t="shared" si="8"/>
        <v>1.6</v>
      </c>
      <c r="AF13" s="203">
        <f t="shared" si="9"/>
        <v>131</v>
      </c>
      <c r="AG13" s="203">
        <f t="shared" si="9"/>
        <v>211</v>
      </c>
      <c r="AH13" s="204">
        <v>110</v>
      </c>
      <c r="AI13" s="205">
        <f t="shared" si="28"/>
        <v>8.0000000000000004E-4</v>
      </c>
      <c r="AJ13" s="206">
        <f t="shared" si="10"/>
        <v>48</v>
      </c>
      <c r="AK13" s="207">
        <f t="shared" si="11"/>
        <v>4.9087385212340522E-4</v>
      </c>
      <c r="AL13" s="205">
        <f t="shared" si="26"/>
        <v>1.6297466172610082</v>
      </c>
      <c r="AM13" s="202">
        <f t="shared" si="12"/>
        <v>130.59906442870553</v>
      </c>
      <c r="AN13" s="208">
        <f t="shared" si="13"/>
        <v>210.94719045178238</v>
      </c>
      <c r="AO13" s="203">
        <f t="shared" si="14"/>
        <v>25</v>
      </c>
      <c r="AP13" s="203">
        <f t="shared" si="15"/>
        <v>25</v>
      </c>
      <c r="AQ13" s="208">
        <f t="shared" si="16"/>
        <v>0</v>
      </c>
      <c r="AR13" s="208">
        <f t="shared" si="17"/>
        <v>0</v>
      </c>
      <c r="AS13" s="208">
        <f t="shared" si="27"/>
        <v>0</v>
      </c>
      <c r="AT13" s="208">
        <f t="shared" si="27"/>
        <v>0</v>
      </c>
      <c r="AU13" s="187"/>
    </row>
    <row r="14" spans="1:47" ht="14.25" customHeight="1" x14ac:dyDescent="0.15">
      <c r="A14" s="187"/>
      <c r="B14" s="223">
        <v>10</v>
      </c>
      <c r="C14" s="283" t="s">
        <v>584</v>
      </c>
      <c r="D14" s="227"/>
      <c r="E14" s="187"/>
      <c r="F14" s="290">
        <v>6</v>
      </c>
      <c r="G14" s="298" t="str">
        <f t="shared" si="0"/>
        <v>メーター</v>
      </c>
      <c r="H14" s="167"/>
      <c r="I14" s="166">
        <v>25</v>
      </c>
      <c r="J14" s="39"/>
      <c r="K14" s="37">
        <v>15</v>
      </c>
      <c r="L14" s="37">
        <v>12</v>
      </c>
      <c r="M14" s="183">
        <v>1</v>
      </c>
      <c r="N14" s="292"/>
      <c r="O14" s="187">
        <v>9</v>
      </c>
      <c r="P14" s="303" t="str">
        <f t="shared" si="18"/>
        <v>メーター</v>
      </c>
      <c r="Q14" s="300">
        <f t="shared" si="19"/>
        <v>0</v>
      </c>
      <c r="R14" s="301">
        <f t="shared" si="20"/>
        <v>25</v>
      </c>
      <c r="S14" s="199">
        <f t="shared" si="21"/>
        <v>0</v>
      </c>
      <c r="T14" s="302">
        <f t="shared" si="22"/>
        <v>15</v>
      </c>
      <c r="U14" s="199">
        <f t="shared" si="23"/>
        <v>4</v>
      </c>
      <c r="V14" s="277">
        <f t="shared" si="1"/>
        <v>0.2</v>
      </c>
      <c r="W14" s="255">
        <f t="shared" si="2"/>
        <v>0.8</v>
      </c>
      <c r="X14" s="255" t="str">
        <f t="shared" si="3"/>
        <v>12.00</v>
      </c>
      <c r="Y14" s="278">
        <f t="shared" si="24"/>
        <v>131</v>
      </c>
      <c r="Z14" s="256">
        <f t="shared" si="4"/>
        <v>1.57</v>
      </c>
      <c r="AA14" s="187" t="str">
        <f t="shared" si="5"/>
        <v>ok</v>
      </c>
      <c r="AB14" s="38">
        <f t="shared" si="6"/>
        <v>12</v>
      </c>
      <c r="AC14" s="38" t="str">
        <f t="shared" si="25"/>
        <v>12.00</v>
      </c>
      <c r="AD14" s="38">
        <f t="shared" si="7"/>
        <v>12</v>
      </c>
      <c r="AE14" s="202">
        <f t="shared" si="8"/>
        <v>1.6</v>
      </c>
      <c r="AF14" s="203">
        <f t="shared" si="9"/>
        <v>131</v>
      </c>
      <c r="AG14" s="203">
        <f t="shared" si="9"/>
        <v>211</v>
      </c>
      <c r="AH14" s="204">
        <v>110</v>
      </c>
      <c r="AI14" s="205">
        <f t="shared" si="28"/>
        <v>8.0000000000000004E-4</v>
      </c>
      <c r="AJ14" s="206">
        <f t="shared" si="10"/>
        <v>48</v>
      </c>
      <c r="AK14" s="207">
        <f t="shared" si="11"/>
        <v>4.9087385212340522E-4</v>
      </c>
      <c r="AL14" s="205">
        <f t="shared" si="26"/>
        <v>1.6297466172610082</v>
      </c>
      <c r="AM14" s="202">
        <f t="shared" si="12"/>
        <v>130.59906442870553</v>
      </c>
      <c r="AN14" s="208">
        <f t="shared" si="13"/>
        <v>210.94719045178238</v>
      </c>
      <c r="AO14" s="203">
        <f t="shared" si="14"/>
        <v>25</v>
      </c>
      <c r="AP14" s="203">
        <f t="shared" si="15"/>
        <v>25</v>
      </c>
      <c r="AQ14" s="208">
        <f t="shared" si="16"/>
        <v>0</v>
      </c>
      <c r="AR14" s="208">
        <f t="shared" si="17"/>
        <v>0</v>
      </c>
      <c r="AS14" s="208">
        <f t="shared" si="27"/>
        <v>0</v>
      </c>
      <c r="AT14" s="208">
        <f t="shared" si="27"/>
        <v>0</v>
      </c>
      <c r="AU14" s="187"/>
    </row>
    <row r="15" spans="1:47" ht="14.25" customHeight="1" x14ac:dyDescent="0.15">
      <c r="A15" s="187"/>
      <c r="B15" s="223">
        <v>11</v>
      </c>
      <c r="C15" s="283" t="s">
        <v>585</v>
      </c>
      <c r="D15" s="227"/>
      <c r="E15" s="187"/>
      <c r="F15" s="290">
        <v>7</v>
      </c>
      <c r="G15" s="298" t="str">
        <f t="shared" si="0"/>
        <v>逆止弁</v>
      </c>
      <c r="H15" s="167"/>
      <c r="I15" s="166">
        <v>25</v>
      </c>
      <c r="J15" s="39"/>
      <c r="K15" s="37">
        <v>15</v>
      </c>
      <c r="L15" s="37">
        <v>12</v>
      </c>
      <c r="M15" s="183">
        <v>1</v>
      </c>
      <c r="N15" s="292"/>
      <c r="O15" s="187">
        <v>10</v>
      </c>
      <c r="P15" s="303" t="str">
        <f t="shared" si="18"/>
        <v>逆止弁</v>
      </c>
      <c r="Q15" s="300">
        <f t="shared" si="19"/>
        <v>0</v>
      </c>
      <c r="R15" s="301">
        <f t="shared" si="20"/>
        <v>25</v>
      </c>
      <c r="S15" s="199">
        <f t="shared" si="21"/>
        <v>0</v>
      </c>
      <c r="T15" s="302">
        <f t="shared" si="22"/>
        <v>15</v>
      </c>
      <c r="U15" s="199">
        <f t="shared" si="23"/>
        <v>4</v>
      </c>
      <c r="V15" s="277">
        <f t="shared" si="1"/>
        <v>0.2</v>
      </c>
      <c r="W15" s="255">
        <f t="shared" si="2"/>
        <v>0.8</v>
      </c>
      <c r="X15" s="255" t="str">
        <f t="shared" si="3"/>
        <v>6.00</v>
      </c>
      <c r="Y15" s="278">
        <f t="shared" si="24"/>
        <v>131</v>
      </c>
      <c r="Z15" s="256">
        <f t="shared" si="4"/>
        <v>0.79</v>
      </c>
      <c r="AA15" s="187" t="str">
        <f t="shared" si="5"/>
        <v>ok</v>
      </c>
      <c r="AB15" s="38">
        <f t="shared" si="6"/>
        <v>6</v>
      </c>
      <c r="AC15" s="38" t="str">
        <f t="shared" si="25"/>
        <v>6.00</v>
      </c>
      <c r="AD15" s="38">
        <f t="shared" si="7"/>
        <v>6</v>
      </c>
      <c r="AE15" s="202">
        <f t="shared" si="8"/>
        <v>1.6</v>
      </c>
      <c r="AF15" s="203">
        <f t="shared" si="9"/>
        <v>131</v>
      </c>
      <c r="AG15" s="203">
        <f t="shared" si="9"/>
        <v>211</v>
      </c>
      <c r="AH15" s="204">
        <v>110</v>
      </c>
      <c r="AI15" s="205">
        <f t="shared" si="28"/>
        <v>8.0000000000000004E-4</v>
      </c>
      <c r="AJ15" s="206">
        <f t="shared" si="10"/>
        <v>48</v>
      </c>
      <c r="AK15" s="207">
        <f t="shared" si="11"/>
        <v>4.9087385212340522E-4</v>
      </c>
      <c r="AL15" s="205">
        <f t="shared" si="26"/>
        <v>1.6297466172610082</v>
      </c>
      <c r="AM15" s="202">
        <f t="shared" si="12"/>
        <v>130.59906442870553</v>
      </c>
      <c r="AN15" s="208">
        <f t="shared" si="13"/>
        <v>210.94719045178238</v>
      </c>
      <c r="AO15" s="203">
        <f t="shared" si="14"/>
        <v>25</v>
      </c>
      <c r="AP15" s="203">
        <f t="shared" si="15"/>
        <v>25</v>
      </c>
      <c r="AQ15" s="208">
        <f t="shared" si="16"/>
        <v>0</v>
      </c>
      <c r="AR15" s="208">
        <f t="shared" si="17"/>
        <v>0</v>
      </c>
      <c r="AS15" s="208">
        <f t="shared" si="27"/>
        <v>0</v>
      </c>
      <c r="AT15" s="208">
        <f t="shared" si="27"/>
        <v>0</v>
      </c>
      <c r="AU15" s="187"/>
    </row>
    <row r="16" spans="1:47" ht="14.25" customHeight="1" x14ac:dyDescent="0.15">
      <c r="A16" s="187"/>
      <c r="B16" s="223">
        <v>12</v>
      </c>
      <c r="C16" s="283" t="s">
        <v>586</v>
      </c>
      <c r="D16" s="227"/>
      <c r="E16" s="187"/>
      <c r="F16" s="290">
        <v>17</v>
      </c>
      <c r="G16" s="298" t="str">
        <f t="shared" si="0"/>
        <v>Ｃ～Ｄ</v>
      </c>
      <c r="H16" s="167"/>
      <c r="I16" s="166">
        <v>25</v>
      </c>
      <c r="J16" s="39"/>
      <c r="K16" s="37">
        <v>15</v>
      </c>
      <c r="L16" s="37">
        <v>12</v>
      </c>
      <c r="M16" s="183">
        <v>1</v>
      </c>
      <c r="N16" s="292"/>
      <c r="O16" s="187">
        <v>11</v>
      </c>
      <c r="P16" s="303" t="str">
        <f t="shared" si="18"/>
        <v>Ｃ～Ｄ</v>
      </c>
      <c r="Q16" s="300">
        <f t="shared" si="19"/>
        <v>0</v>
      </c>
      <c r="R16" s="301">
        <f t="shared" si="20"/>
        <v>25</v>
      </c>
      <c r="S16" s="199">
        <f t="shared" si="21"/>
        <v>0</v>
      </c>
      <c r="T16" s="302">
        <f t="shared" si="22"/>
        <v>15</v>
      </c>
      <c r="U16" s="199">
        <f t="shared" si="23"/>
        <v>4</v>
      </c>
      <c r="V16" s="277">
        <f t="shared" si="1"/>
        <v>0.2</v>
      </c>
      <c r="W16" s="255">
        <f t="shared" si="2"/>
        <v>0.8</v>
      </c>
      <c r="X16" s="255" t="str">
        <f t="shared" si="3"/>
        <v>2.00</v>
      </c>
      <c r="Y16" s="278">
        <f t="shared" si="24"/>
        <v>131</v>
      </c>
      <c r="Z16" s="256">
        <f t="shared" si="4"/>
        <v>0.26</v>
      </c>
      <c r="AA16" s="187" t="str">
        <f t="shared" si="5"/>
        <v>ok</v>
      </c>
      <c r="AB16" s="38">
        <f t="shared" si="6"/>
        <v>2</v>
      </c>
      <c r="AC16" s="38" t="str">
        <f t="shared" si="25"/>
        <v>2.00</v>
      </c>
      <c r="AD16" s="38">
        <f t="shared" si="7"/>
        <v>2</v>
      </c>
      <c r="AE16" s="202">
        <f t="shared" si="8"/>
        <v>1.6</v>
      </c>
      <c r="AF16" s="203">
        <f t="shared" si="9"/>
        <v>131</v>
      </c>
      <c r="AG16" s="203">
        <f t="shared" si="9"/>
        <v>211</v>
      </c>
      <c r="AH16" s="204">
        <v>110</v>
      </c>
      <c r="AI16" s="205">
        <f t="shared" si="28"/>
        <v>8.0000000000000004E-4</v>
      </c>
      <c r="AJ16" s="206">
        <f t="shared" si="10"/>
        <v>48</v>
      </c>
      <c r="AK16" s="207">
        <f t="shared" si="11"/>
        <v>4.9087385212340522E-4</v>
      </c>
      <c r="AL16" s="205">
        <f t="shared" si="26"/>
        <v>1.6297466172610082</v>
      </c>
      <c r="AM16" s="202">
        <f t="shared" si="12"/>
        <v>130.59906442870553</v>
      </c>
      <c r="AN16" s="208">
        <f t="shared" si="13"/>
        <v>210.94719045178238</v>
      </c>
      <c r="AO16" s="203">
        <f t="shared" si="14"/>
        <v>25</v>
      </c>
      <c r="AP16" s="203">
        <f t="shared" si="15"/>
        <v>25</v>
      </c>
      <c r="AQ16" s="208">
        <f t="shared" si="16"/>
        <v>0</v>
      </c>
      <c r="AR16" s="208">
        <f t="shared" si="17"/>
        <v>0</v>
      </c>
      <c r="AS16" s="208">
        <f t="shared" si="27"/>
        <v>0</v>
      </c>
      <c r="AT16" s="208">
        <f t="shared" si="27"/>
        <v>0</v>
      </c>
      <c r="AU16" s="187"/>
    </row>
    <row r="17" spans="1:48" ht="14.25" customHeight="1" x14ac:dyDescent="0.15">
      <c r="A17" s="187"/>
      <c r="B17" s="223">
        <v>13</v>
      </c>
      <c r="C17" s="283" t="s">
        <v>587</v>
      </c>
      <c r="D17" s="227"/>
      <c r="E17" s="187"/>
      <c r="F17" s="290">
        <v>9</v>
      </c>
      <c r="G17" s="298" t="str">
        <f t="shared" si="0"/>
        <v>水抜栓</v>
      </c>
      <c r="H17" s="167"/>
      <c r="I17" s="166">
        <v>25</v>
      </c>
      <c r="J17" s="39"/>
      <c r="K17" s="37">
        <v>15</v>
      </c>
      <c r="L17" s="37">
        <v>12</v>
      </c>
      <c r="M17" s="183">
        <v>1</v>
      </c>
      <c r="N17" s="292"/>
      <c r="O17" s="187">
        <v>12</v>
      </c>
      <c r="P17" s="303" t="str">
        <f t="shared" si="18"/>
        <v>水抜栓</v>
      </c>
      <c r="Q17" s="300">
        <f t="shared" si="19"/>
        <v>0</v>
      </c>
      <c r="R17" s="301">
        <f t="shared" si="20"/>
        <v>25</v>
      </c>
      <c r="S17" s="199">
        <f t="shared" si="21"/>
        <v>0</v>
      </c>
      <c r="T17" s="302">
        <f t="shared" si="22"/>
        <v>15</v>
      </c>
      <c r="U17" s="199">
        <f t="shared" si="23"/>
        <v>4</v>
      </c>
      <c r="V17" s="277">
        <f t="shared" si="1"/>
        <v>0.2</v>
      </c>
      <c r="W17" s="255">
        <f t="shared" si="2"/>
        <v>0.8</v>
      </c>
      <c r="X17" s="255" t="str">
        <f t="shared" si="3"/>
        <v>5.00</v>
      </c>
      <c r="Y17" s="278">
        <f t="shared" si="24"/>
        <v>131</v>
      </c>
      <c r="Z17" s="256">
        <f t="shared" si="4"/>
        <v>0.66</v>
      </c>
      <c r="AA17" s="187" t="str">
        <f t="shared" si="5"/>
        <v>ok</v>
      </c>
      <c r="AB17" s="38">
        <f t="shared" si="6"/>
        <v>5</v>
      </c>
      <c r="AC17" s="38" t="str">
        <f t="shared" si="25"/>
        <v>5.00</v>
      </c>
      <c r="AD17" s="38">
        <f t="shared" si="7"/>
        <v>5</v>
      </c>
      <c r="AE17" s="202">
        <f t="shared" si="8"/>
        <v>1.6</v>
      </c>
      <c r="AF17" s="203">
        <f t="shared" si="9"/>
        <v>131</v>
      </c>
      <c r="AG17" s="203">
        <f t="shared" si="9"/>
        <v>211</v>
      </c>
      <c r="AH17" s="204">
        <v>110</v>
      </c>
      <c r="AI17" s="205">
        <f t="shared" si="28"/>
        <v>8.0000000000000004E-4</v>
      </c>
      <c r="AJ17" s="206">
        <f t="shared" si="10"/>
        <v>48</v>
      </c>
      <c r="AK17" s="207">
        <f t="shared" si="11"/>
        <v>4.9087385212340522E-4</v>
      </c>
      <c r="AL17" s="205">
        <f t="shared" si="26"/>
        <v>1.6297466172610082</v>
      </c>
      <c r="AM17" s="202">
        <f t="shared" si="12"/>
        <v>130.59906442870553</v>
      </c>
      <c r="AN17" s="208">
        <f t="shared" si="13"/>
        <v>210.94719045178238</v>
      </c>
      <c r="AO17" s="203">
        <f t="shared" si="14"/>
        <v>25</v>
      </c>
      <c r="AP17" s="203">
        <f t="shared" si="15"/>
        <v>25</v>
      </c>
      <c r="AQ17" s="208">
        <f t="shared" si="16"/>
        <v>0</v>
      </c>
      <c r="AR17" s="208">
        <f t="shared" si="17"/>
        <v>0</v>
      </c>
      <c r="AS17" s="208">
        <f t="shared" si="27"/>
        <v>0</v>
      </c>
      <c r="AT17" s="208">
        <f t="shared" si="27"/>
        <v>0</v>
      </c>
      <c r="AU17" s="187"/>
    </row>
    <row r="18" spans="1:48" ht="14.25" customHeight="1" x14ac:dyDescent="0.15">
      <c r="A18" s="187"/>
      <c r="B18" s="223">
        <v>14</v>
      </c>
      <c r="C18" s="283" t="s">
        <v>588</v>
      </c>
      <c r="D18" s="227"/>
      <c r="E18" s="187"/>
      <c r="F18" s="290"/>
      <c r="G18" s="298">
        <f t="shared" si="0"/>
        <v>0</v>
      </c>
      <c r="H18" s="167"/>
      <c r="I18" s="166"/>
      <c r="J18" s="39"/>
      <c r="K18" s="37"/>
      <c r="L18" s="37"/>
      <c r="M18" s="183">
        <v>1</v>
      </c>
      <c r="N18" s="292"/>
      <c r="O18" s="187">
        <v>13</v>
      </c>
      <c r="P18" s="303">
        <f t="shared" si="18"/>
        <v>0</v>
      </c>
      <c r="Q18" s="300">
        <f t="shared" si="19"/>
        <v>0</v>
      </c>
      <c r="R18" s="301">
        <f t="shared" si="20"/>
        <v>0</v>
      </c>
      <c r="S18" s="199">
        <f t="shared" si="21"/>
        <v>0</v>
      </c>
      <c r="T18" s="302">
        <f t="shared" si="22"/>
        <v>0</v>
      </c>
      <c r="U18" s="199">
        <f t="shared" si="23"/>
        <v>0</v>
      </c>
      <c r="V18" s="277">
        <f t="shared" si="1"/>
        <v>0</v>
      </c>
      <c r="W18" s="255">
        <f t="shared" si="2"/>
        <v>0</v>
      </c>
      <c r="X18" s="255">
        <f t="shared" si="3"/>
        <v>0</v>
      </c>
      <c r="Y18" s="278">
        <f t="shared" si="24"/>
        <v>0</v>
      </c>
      <c r="Z18" s="256">
        <f t="shared" si="4"/>
        <v>0</v>
      </c>
      <c r="AA18" s="187" t="str">
        <f t="shared" si="5"/>
        <v>ok</v>
      </c>
      <c r="AB18" s="38">
        <f t="shared" si="6"/>
        <v>0</v>
      </c>
      <c r="AC18" s="38">
        <f t="shared" si="25"/>
        <v>0</v>
      </c>
      <c r="AD18" s="38">
        <f t="shared" si="7"/>
        <v>0</v>
      </c>
      <c r="AE18" s="202">
        <f t="shared" si="8"/>
        <v>0</v>
      </c>
      <c r="AF18" s="203">
        <f t="shared" si="9"/>
        <v>0</v>
      </c>
      <c r="AG18" s="203">
        <f t="shared" si="9"/>
        <v>0</v>
      </c>
      <c r="AH18" s="204">
        <v>110</v>
      </c>
      <c r="AI18" s="205">
        <f t="shared" si="28"/>
        <v>0</v>
      </c>
      <c r="AJ18" s="206">
        <f t="shared" si="10"/>
        <v>0</v>
      </c>
      <c r="AK18" s="207">
        <f t="shared" si="11"/>
        <v>0</v>
      </c>
      <c r="AL18" s="205">
        <f t="shared" si="26"/>
        <v>0</v>
      </c>
      <c r="AM18" s="202">
        <f t="shared" si="12"/>
        <v>0</v>
      </c>
      <c r="AN18" s="208">
        <f t="shared" si="13"/>
        <v>0</v>
      </c>
      <c r="AO18" s="203">
        <f t="shared" si="14"/>
        <v>0</v>
      </c>
      <c r="AP18" s="203">
        <f t="shared" si="15"/>
        <v>0</v>
      </c>
      <c r="AQ18" s="208">
        <f t="shared" si="16"/>
        <v>0</v>
      </c>
      <c r="AR18" s="208">
        <f t="shared" si="17"/>
        <v>0</v>
      </c>
      <c r="AS18" s="208">
        <f t="shared" si="27"/>
        <v>0</v>
      </c>
      <c r="AT18" s="208">
        <f t="shared" si="27"/>
        <v>0</v>
      </c>
      <c r="AU18" s="187"/>
    </row>
    <row r="19" spans="1:48" ht="14.25" customHeight="1" x14ac:dyDescent="0.15">
      <c r="A19" s="187"/>
      <c r="B19" s="223">
        <v>15</v>
      </c>
      <c r="C19" s="284" t="s">
        <v>590</v>
      </c>
      <c r="D19" s="227">
        <v>1000</v>
      </c>
      <c r="E19" s="187"/>
      <c r="F19" s="290"/>
      <c r="G19" s="298">
        <f t="shared" si="0"/>
        <v>0</v>
      </c>
      <c r="H19" s="167"/>
      <c r="I19" s="166"/>
      <c r="J19" s="39"/>
      <c r="K19" s="37"/>
      <c r="L19" s="37"/>
      <c r="M19" s="183">
        <v>1</v>
      </c>
      <c r="N19" s="292"/>
      <c r="O19" s="187">
        <v>14</v>
      </c>
      <c r="P19" s="303">
        <f t="shared" si="18"/>
        <v>0</v>
      </c>
      <c r="Q19" s="300">
        <f t="shared" si="19"/>
        <v>0</v>
      </c>
      <c r="R19" s="301">
        <f t="shared" si="20"/>
        <v>0</v>
      </c>
      <c r="S19" s="199">
        <f t="shared" si="21"/>
        <v>0</v>
      </c>
      <c r="T19" s="302">
        <f t="shared" si="22"/>
        <v>0</v>
      </c>
      <c r="U19" s="199">
        <f t="shared" si="23"/>
        <v>0</v>
      </c>
      <c r="V19" s="277">
        <f t="shared" si="1"/>
        <v>0</v>
      </c>
      <c r="W19" s="255">
        <f t="shared" si="2"/>
        <v>0</v>
      </c>
      <c r="X19" s="255">
        <f t="shared" si="3"/>
        <v>0</v>
      </c>
      <c r="Y19" s="278">
        <f t="shared" si="24"/>
        <v>0</v>
      </c>
      <c r="Z19" s="256">
        <f t="shared" si="4"/>
        <v>0</v>
      </c>
      <c r="AA19" s="187" t="str">
        <f t="shared" si="5"/>
        <v>ok</v>
      </c>
      <c r="AB19" s="38">
        <f t="shared" si="6"/>
        <v>0</v>
      </c>
      <c r="AC19" s="38">
        <f t="shared" si="25"/>
        <v>0</v>
      </c>
      <c r="AD19" s="38">
        <f t="shared" si="7"/>
        <v>0</v>
      </c>
      <c r="AE19" s="202">
        <f t="shared" si="8"/>
        <v>0</v>
      </c>
      <c r="AF19" s="203">
        <f t="shared" si="9"/>
        <v>0</v>
      </c>
      <c r="AG19" s="203">
        <f t="shared" si="9"/>
        <v>0</v>
      </c>
      <c r="AH19" s="204">
        <v>110</v>
      </c>
      <c r="AI19" s="205">
        <f t="shared" si="28"/>
        <v>0</v>
      </c>
      <c r="AJ19" s="206">
        <f t="shared" si="10"/>
        <v>0</v>
      </c>
      <c r="AK19" s="207">
        <f t="shared" si="11"/>
        <v>0</v>
      </c>
      <c r="AL19" s="205">
        <f t="shared" si="26"/>
        <v>0</v>
      </c>
      <c r="AM19" s="202">
        <f t="shared" si="12"/>
        <v>0</v>
      </c>
      <c r="AN19" s="208">
        <f t="shared" si="13"/>
        <v>0</v>
      </c>
      <c r="AO19" s="203">
        <f t="shared" si="14"/>
        <v>0</v>
      </c>
      <c r="AP19" s="203">
        <f t="shared" si="15"/>
        <v>0</v>
      </c>
      <c r="AQ19" s="208">
        <f t="shared" si="16"/>
        <v>0</v>
      </c>
      <c r="AR19" s="208">
        <f t="shared" si="17"/>
        <v>0</v>
      </c>
      <c r="AS19" s="208">
        <f t="shared" si="27"/>
        <v>0</v>
      </c>
      <c r="AT19" s="208">
        <f t="shared" si="27"/>
        <v>0</v>
      </c>
      <c r="AU19" s="187"/>
    </row>
    <row r="20" spans="1:48" ht="14.25" customHeight="1" x14ac:dyDescent="0.15">
      <c r="A20" s="187"/>
      <c r="B20" s="223">
        <v>16</v>
      </c>
      <c r="C20" s="284" t="s">
        <v>591</v>
      </c>
      <c r="D20" s="227">
        <v>10</v>
      </c>
      <c r="E20" s="187"/>
      <c r="F20" s="290"/>
      <c r="G20" s="298">
        <f t="shared" si="0"/>
        <v>0</v>
      </c>
      <c r="H20" s="167"/>
      <c r="I20" s="166"/>
      <c r="J20" s="39"/>
      <c r="K20" s="37"/>
      <c r="L20" s="37"/>
      <c r="M20" s="183">
        <v>1</v>
      </c>
      <c r="N20" s="292"/>
      <c r="O20" s="187">
        <v>15</v>
      </c>
      <c r="P20" s="303">
        <f t="shared" si="18"/>
        <v>0</v>
      </c>
      <c r="Q20" s="300">
        <f t="shared" si="19"/>
        <v>0</v>
      </c>
      <c r="R20" s="301">
        <f t="shared" si="20"/>
        <v>0</v>
      </c>
      <c r="S20" s="199">
        <f t="shared" si="21"/>
        <v>0</v>
      </c>
      <c r="T20" s="302">
        <f t="shared" si="22"/>
        <v>0</v>
      </c>
      <c r="U20" s="199">
        <f t="shared" si="23"/>
        <v>0</v>
      </c>
      <c r="V20" s="277">
        <f t="shared" si="1"/>
        <v>0</v>
      </c>
      <c r="W20" s="255">
        <f t="shared" si="2"/>
        <v>0</v>
      </c>
      <c r="X20" s="255">
        <f t="shared" si="3"/>
        <v>0</v>
      </c>
      <c r="Y20" s="278">
        <f t="shared" si="24"/>
        <v>0</v>
      </c>
      <c r="Z20" s="256">
        <f t="shared" si="4"/>
        <v>0</v>
      </c>
      <c r="AA20" s="187" t="str">
        <f t="shared" si="5"/>
        <v>ok</v>
      </c>
      <c r="AB20" s="38">
        <f t="shared" si="6"/>
        <v>0</v>
      </c>
      <c r="AC20" s="38">
        <f t="shared" si="25"/>
        <v>0</v>
      </c>
      <c r="AD20" s="38">
        <f t="shared" si="7"/>
        <v>0</v>
      </c>
      <c r="AE20" s="202">
        <f t="shared" si="8"/>
        <v>0</v>
      </c>
      <c r="AF20" s="203">
        <f t="shared" si="9"/>
        <v>0</v>
      </c>
      <c r="AG20" s="203">
        <f t="shared" si="9"/>
        <v>0</v>
      </c>
      <c r="AH20" s="204">
        <v>110</v>
      </c>
      <c r="AI20" s="205">
        <f t="shared" si="28"/>
        <v>0</v>
      </c>
      <c r="AJ20" s="206">
        <f t="shared" si="10"/>
        <v>0</v>
      </c>
      <c r="AK20" s="207">
        <f t="shared" si="11"/>
        <v>0</v>
      </c>
      <c r="AL20" s="205">
        <f t="shared" si="26"/>
        <v>0</v>
      </c>
      <c r="AM20" s="202">
        <f t="shared" si="12"/>
        <v>0</v>
      </c>
      <c r="AN20" s="208">
        <f t="shared" si="13"/>
        <v>0</v>
      </c>
      <c r="AO20" s="203">
        <f t="shared" si="14"/>
        <v>0</v>
      </c>
      <c r="AP20" s="203">
        <f t="shared" si="15"/>
        <v>0</v>
      </c>
      <c r="AQ20" s="208">
        <f t="shared" si="16"/>
        <v>0</v>
      </c>
      <c r="AR20" s="208">
        <f t="shared" si="17"/>
        <v>0</v>
      </c>
      <c r="AS20" s="208">
        <f t="shared" si="27"/>
        <v>0</v>
      </c>
      <c r="AT20" s="208">
        <f t="shared" si="27"/>
        <v>0</v>
      </c>
      <c r="AU20" s="187"/>
    </row>
    <row r="21" spans="1:48" ht="14.25" customHeight="1" x14ac:dyDescent="0.15">
      <c r="A21" s="187"/>
      <c r="B21" s="223">
        <v>17</v>
      </c>
      <c r="C21" s="284" t="s">
        <v>592</v>
      </c>
      <c r="D21" s="227">
        <v>2</v>
      </c>
      <c r="E21" s="187"/>
      <c r="F21" s="290"/>
      <c r="G21" s="298">
        <f t="shared" si="0"/>
        <v>0</v>
      </c>
      <c r="H21" s="167"/>
      <c r="I21" s="166"/>
      <c r="J21" s="39"/>
      <c r="K21" s="37"/>
      <c r="L21" s="37"/>
      <c r="M21" s="183">
        <v>1</v>
      </c>
      <c r="N21" s="292"/>
      <c r="O21" s="187">
        <v>16</v>
      </c>
      <c r="P21" s="303">
        <f t="shared" si="18"/>
        <v>0</v>
      </c>
      <c r="Q21" s="300">
        <f t="shared" si="19"/>
        <v>0</v>
      </c>
      <c r="R21" s="301">
        <f t="shared" si="20"/>
        <v>0</v>
      </c>
      <c r="S21" s="199">
        <f t="shared" si="21"/>
        <v>0</v>
      </c>
      <c r="T21" s="302">
        <f t="shared" si="22"/>
        <v>0</v>
      </c>
      <c r="U21" s="199">
        <f t="shared" si="23"/>
        <v>0</v>
      </c>
      <c r="V21" s="277">
        <f t="shared" si="1"/>
        <v>0</v>
      </c>
      <c r="W21" s="255">
        <f t="shared" si="2"/>
        <v>0</v>
      </c>
      <c r="X21" s="255">
        <f t="shared" si="3"/>
        <v>0</v>
      </c>
      <c r="Y21" s="278">
        <f t="shared" si="24"/>
        <v>0</v>
      </c>
      <c r="Z21" s="256">
        <f t="shared" si="4"/>
        <v>0</v>
      </c>
      <c r="AA21" s="187" t="str">
        <f t="shared" si="5"/>
        <v>ok</v>
      </c>
      <c r="AB21" s="38">
        <f t="shared" si="6"/>
        <v>0</v>
      </c>
      <c r="AC21" s="38">
        <f t="shared" si="25"/>
        <v>0</v>
      </c>
      <c r="AD21" s="38">
        <f t="shared" si="7"/>
        <v>0</v>
      </c>
      <c r="AE21" s="202">
        <f t="shared" si="8"/>
        <v>0</v>
      </c>
      <c r="AF21" s="203">
        <f t="shared" si="9"/>
        <v>0</v>
      </c>
      <c r="AG21" s="203">
        <f t="shared" si="9"/>
        <v>0</v>
      </c>
      <c r="AH21" s="204">
        <v>110</v>
      </c>
      <c r="AI21" s="205">
        <f t="shared" si="28"/>
        <v>0</v>
      </c>
      <c r="AJ21" s="206">
        <f t="shared" si="10"/>
        <v>0</v>
      </c>
      <c r="AK21" s="207">
        <f t="shared" si="11"/>
        <v>0</v>
      </c>
      <c r="AL21" s="205">
        <f t="shared" si="26"/>
        <v>0</v>
      </c>
      <c r="AM21" s="202">
        <f t="shared" si="12"/>
        <v>0</v>
      </c>
      <c r="AN21" s="208">
        <f t="shared" si="13"/>
        <v>0</v>
      </c>
      <c r="AO21" s="203">
        <f t="shared" si="14"/>
        <v>0</v>
      </c>
      <c r="AP21" s="203">
        <f t="shared" si="15"/>
        <v>0</v>
      </c>
      <c r="AQ21" s="208">
        <f t="shared" si="16"/>
        <v>0</v>
      </c>
      <c r="AR21" s="208">
        <f t="shared" si="17"/>
        <v>0</v>
      </c>
      <c r="AS21" s="208">
        <f t="shared" si="27"/>
        <v>0</v>
      </c>
      <c r="AT21" s="208">
        <f t="shared" si="27"/>
        <v>0</v>
      </c>
      <c r="AU21" s="187"/>
    </row>
    <row r="22" spans="1:48" ht="14.25" customHeight="1" x14ac:dyDescent="0.15">
      <c r="A22" s="187"/>
      <c r="B22" s="223">
        <v>18</v>
      </c>
      <c r="C22" s="284" t="s">
        <v>593</v>
      </c>
      <c r="D22" s="227">
        <v>2</v>
      </c>
      <c r="E22" s="187"/>
      <c r="F22" s="290"/>
      <c r="G22" s="298">
        <f t="shared" si="0"/>
        <v>0</v>
      </c>
      <c r="H22" s="167"/>
      <c r="I22" s="166"/>
      <c r="J22" s="39"/>
      <c r="K22" s="37"/>
      <c r="L22" s="37"/>
      <c r="M22" s="183">
        <v>1</v>
      </c>
      <c r="N22" s="292"/>
      <c r="O22" s="187">
        <v>17</v>
      </c>
      <c r="P22" s="303">
        <f t="shared" si="18"/>
        <v>0</v>
      </c>
      <c r="Q22" s="300">
        <f t="shared" si="19"/>
        <v>0</v>
      </c>
      <c r="R22" s="301">
        <f t="shared" si="20"/>
        <v>0</v>
      </c>
      <c r="S22" s="199">
        <f t="shared" si="21"/>
        <v>0</v>
      </c>
      <c r="T22" s="302">
        <f t="shared" si="22"/>
        <v>0</v>
      </c>
      <c r="U22" s="199">
        <f t="shared" si="23"/>
        <v>0</v>
      </c>
      <c r="V22" s="277">
        <f t="shared" si="1"/>
        <v>0</v>
      </c>
      <c r="W22" s="255">
        <f t="shared" si="2"/>
        <v>0</v>
      </c>
      <c r="X22" s="255">
        <f t="shared" si="3"/>
        <v>0</v>
      </c>
      <c r="Y22" s="278">
        <f t="shared" si="24"/>
        <v>0</v>
      </c>
      <c r="Z22" s="256">
        <f t="shared" si="4"/>
        <v>0</v>
      </c>
      <c r="AA22" s="187" t="str">
        <f t="shared" si="5"/>
        <v>ok</v>
      </c>
      <c r="AB22" s="38">
        <f t="shared" si="6"/>
        <v>0</v>
      </c>
      <c r="AC22" s="38">
        <f t="shared" si="25"/>
        <v>0</v>
      </c>
      <c r="AD22" s="38">
        <f t="shared" si="7"/>
        <v>0</v>
      </c>
      <c r="AE22" s="202">
        <f t="shared" si="8"/>
        <v>0</v>
      </c>
      <c r="AF22" s="203">
        <f t="shared" ref="AF22:AG42" si="29">IF(AM22&lt;11,ROUND(AM22,1),ROUND(AM22,0))</f>
        <v>0</v>
      </c>
      <c r="AG22" s="203">
        <f t="shared" si="29"/>
        <v>0</v>
      </c>
      <c r="AH22" s="204">
        <v>110</v>
      </c>
      <c r="AI22" s="205">
        <f t="shared" si="28"/>
        <v>0</v>
      </c>
      <c r="AJ22" s="206">
        <f t="shared" si="10"/>
        <v>0</v>
      </c>
      <c r="AK22" s="207">
        <f t="shared" si="11"/>
        <v>0</v>
      </c>
      <c r="AL22" s="205">
        <f t="shared" si="26"/>
        <v>0</v>
      </c>
      <c r="AM22" s="202">
        <f t="shared" si="12"/>
        <v>0</v>
      </c>
      <c r="AN22" s="208">
        <f t="shared" si="13"/>
        <v>0</v>
      </c>
      <c r="AO22" s="203">
        <f t="shared" si="14"/>
        <v>0</v>
      </c>
      <c r="AP22" s="203">
        <f t="shared" si="15"/>
        <v>0</v>
      </c>
      <c r="AQ22" s="208">
        <f t="shared" si="16"/>
        <v>0</v>
      </c>
      <c r="AR22" s="208">
        <f t="shared" si="17"/>
        <v>0</v>
      </c>
      <c r="AS22" s="208">
        <f t="shared" si="27"/>
        <v>0</v>
      </c>
      <c r="AT22" s="208">
        <f t="shared" si="27"/>
        <v>0</v>
      </c>
      <c r="AU22" s="187"/>
    </row>
    <row r="23" spans="1:48" ht="14.25" customHeight="1" x14ac:dyDescent="0.15">
      <c r="A23" s="187"/>
      <c r="B23" s="223">
        <v>19</v>
      </c>
      <c r="C23" s="284" t="s">
        <v>594</v>
      </c>
      <c r="D23" s="227">
        <v>1</v>
      </c>
      <c r="E23" s="187"/>
      <c r="F23" s="290"/>
      <c r="G23" s="298">
        <f t="shared" si="0"/>
        <v>0</v>
      </c>
      <c r="H23" s="167"/>
      <c r="I23" s="166"/>
      <c r="J23" s="39"/>
      <c r="K23" s="37"/>
      <c r="L23" s="37"/>
      <c r="M23" s="183">
        <v>1</v>
      </c>
      <c r="N23" s="292"/>
      <c r="O23" s="187">
        <v>18</v>
      </c>
      <c r="P23" s="303">
        <f t="shared" si="18"/>
        <v>0</v>
      </c>
      <c r="Q23" s="300">
        <f t="shared" si="19"/>
        <v>0</v>
      </c>
      <c r="R23" s="301">
        <f t="shared" si="20"/>
        <v>0</v>
      </c>
      <c r="S23" s="199">
        <f t="shared" si="21"/>
        <v>0</v>
      </c>
      <c r="T23" s="302">
        <f t="shared" si="22"/>
        <v>0</v>
      </c>
      <c r="U23" s="199">
        <f t="shared" si="23"/>
        <v>0</v>
      </c>
      <c r="V23" s="277">
        <f t="shared" si="1"/>
        <v>0</v>
      </c>
      <c r="W23" s="255">
        <f t="shared" si="2"/>
        <v>0</v>
      </c>
      <c r="X23" s="255">
        <f t="shared" si="3"/>
        <v>0</v>
      </c>
      <c r="Y23" s="278">
        <f t="shared" si="24"/>
        <v>0</v>
      </c>
      <c r="Z23" s="256">
        <f t="shared" si="4"/>
        <v>0</v>
      </c>
      <c r="AA23" s="187" t="str">
        <f t="shared" si="5"/>
        <v>ok</v>
      </c>
      <c r="AB23" s="38">
        <f t="shared" si="6"/>
        <v>0</v>
      </c>
      <c r="AC23" s="38">
        <f t="shared" si="25"/>
        <v>0</v>
      </c>
      <c r="AD23" s="38">
        <f t="shared" si="7"/>
        <v>0</v>
      </c>
      <c r="AE23" s="202">
        <f t="shared" si="8"/>
        <v>0</v>
      </c>
      <c r="AF23" s="203">
        <f t="shared" si="29"/>
        <v>0</v>
      </c>
      <c r="AG23" s="203">
        <f t="shared" si="29"/>
        <v>0</v>
      </c>
      <c r="AH23" s="204">
        <v>110</v>
      </c>
      <c r="AI23" s="205">
        <f t="shared" si="28"/>
        <v>0</v>
      </c>
      <c r="AJ23" s="206">
        <f t="shared" si="10"/>
        <v>0</v>
      </c>
      <c r="AK23" s="207">
        <f t="shared" si="11"/>
        <v>0</v>
      </c>
      <c r="AL23" s="205">
        <f t="shared" si="26"/>
        <v>0</v>
      </c>
      <c r="AM23" s="202">
        <f t="shared" si="12"/>
        <v>0</v>
      </c>
      <c r="AN23" s="208">
        <f t="shared" si="13"/>
        <v>0</v>
      </c>
      <c r="AO23" s="203">
        <f t="shared" si="14"/>
        <v>0</v>
      </c>
      <c r="AP23" s="203">
        <f t="shared" si="15"/>
        <v>0</v>
      </c>
      <c r="AQ23" s="208">
        <f t="shared" si="16"/>
        <v>0</v>
      </c>
      <c r="AR23" s="208">
        <f t="shared" si="17"/>
        <v>0</v>
      </c>
      <c r="AS23" s="208">
        <f t="shared" si="27"/>
        <v>0</v>
      </c>
      <c r="AT23" s="208">
        <f t="shared" si="27"/>
        <v>0</v>
      </c>
      <c r="AU23" s="209"/>
      <c r="AV23" s="210"/>
    </row>
    <row r="24" spans="1:48" ht="14.25" customHeight="1" x14ac:dyDescent="0.15">
      <c r="A24" s="187"/>
      <c r="B24" s="223">
        <v>20</v>
      </c>
      <c r="C24" s="284" t="s">
        <v>595</v>
      </c>
      <c r="D24" s="227">
        <v>8.4</v>
      </c>
      <c r="E24" s="187"/>
      <c r="F24" s="290"/>
      <c r="G24" s="298">
        <f t="shared" si="0"/>
        <v>0</v>
      </c>
      <c r="H24" s="167"/>
      <c r="I24" s="166"/>
      <c r="J24" s="39"/>
      <c r="K24" s="37"/>
      <c r="L24" s="37"/>
      <c r="M24" s="183">
        <v>1</v>
      </c>
      <c r="N24" s="292"/>
      <c r="O24" s="187">
        <v>19</v>
      </c>
      <c r="P24" s="303">
        <f t="shared" si="18"/>
        <v>0</v>
      </c>
      <c r="Q24" s="300">
        <f t="shared" si="19"/>
        <v>0</v>
      </c>
      <c r="R24" s="301">
        <f t="shared" si="20"/>
        <v>0</v>
      </c>
      <c r="S24" s="199">
        <f t="shared" si="21"/>
        <v>0</v>
      </c>
      <c r="T24" s="302">
        <f t="shared" si="22"/>
        <v>0</v>
      </c>
      <c r="U24" s="199">
        <f t="shared" si="23"/>
        <v>0</v>
      </c>
      <c r="V24" s="277">
        <f t="shared" si="1"/>
        <v>0</v>
      </c>
      <c r="W24" s="255">
        <f t="shared" si="2"/>
        <v>0</v>
      </c>
      <c r="X24" s="255">
        <f t="shared" si="3"/>
        <v>0</v>
      </c>
      <c r="Y24" s="278">
        <f t="shared" si="24"/>
        <v>0</v>
      </c>
      <c r="Z24" s="256">
        <f t="shared" si="4"/>
        <v>0</v>
      </c>
      <c r="AA24" s="187" t="str">
        <f t="shared" si="5"/>
        <v>ok</v>
      </c>
      <c r="AB24" s="38">
        <f t="shared" si="6"/>
        <v>0</v>
      </c>
      <c r="AC24" s="38">
        <f t="shared" si="25"/>
        <v>0</v>
      </c>
      <c r="AD24" s="38">
        <f t="shared" si="7"/>
        <v>0</v>
      </c>
      <c r="AE24" s="202">
        <f t="shared" si="8"/>
        <v>0</v>
      </c>
      <c r="AF24" s="203">
        <f t="shared" si="29"/>
        <v>0</v>
      </c>
      <c r="AG24" s="203">
        <f t="shared" si="29"/>
        <v>0</v>
      </c>
      <c r="AH24" s="204">
        <v>110</v>
      </c>
      <c r="AI24" s="205">
        <f t="shared" si="28"/>
        <v>0</v>
      </c>
      <c r="AJ24" s="206">
        <f t="shared" si="10"/>
        <v>0</v>
      </c>
      <c r="AK24" s="207">
        <f t="shared" si="11"/>
        <v>0</v>
      </c>
      <c r="AL24" s="205">
        <f t="shared" si="26"/>
        <v>0</v>
      </c>
      <c r="AM24" s="202">
        <f t="shared" si="12"/>
        <v>0</v>
      </c>
      <c r="AN24" s="208">
        <f t="shared" si="13"/>
        <v>0</v>
      </c>
      <c r="AO24" s="203">
        <f t="shared" si="14"/>
        <v>0</v>
      </c>
      <c r="AP24" s="203">
        <f t="shared" si="15"/>
        <v>0</v>
      </c>
      <c r="AQ24" s="208">
        <f t="shared" si="16"/>
        <v>0</v>
      </c>
      <c r="AR24" s="208">
        <f t="shared" si="17"/>
        <v>0</v>
      </c>
      <c r="AS24" s="208">
        <f t="shared" si="27"/>
        <v>0</v>
      </c>
      <c r="AT24" s="208">
        <f t="shared" si="27"/>
        <v>0</v>
      </c>
      <c r="AU24" s="187"/>
    </row>
    <row r="25" spans="1:48" ht="14.25" customHeight="1" x14ac:dyDescent="0.15">
      <c r="A25" s="187"/>
      <c r="B25" s="223">
        <v>21</v>
      </c>
      <c r="C25" s="284" t="s">
        <v>596</v>
      </c>
      <c r="D25" s="227">
        <v>1.9</v>
      </c>
      <c r="E25" s="187"/>
      <c r="F25" s="290"/>
      <c r="G25" s="298">
        <f t="shared" si="0"/>
        <v>0</v>
      </c>
      <c r="H25" s="167"/>
      <c r="I25" s="166"/>
      <c r="J25" s="39"/>
      <c r="K25" s="37"/>
      <c r="L25" s="37"/>
      <c r="M25" s="183">
        <v>1</v>
      </c>
      <c r="N25" s="292"/>
      <c r="O25" s="187">
        <v>20</v>
      </c>
      <c r="P25" s="303">
        <f t="shared" si="18"/>
        <v>0</v>
      </c>
      <c r="Q25" s="300">
        <f t="shared" si="19"/>
        <v>0</v>
      </c>
      <c r="R25" s="301">
        <f t="shared" si="20"/>
        <v>0</v>
      </c>
      <c r="S25" s="199">
        <f t="shared" si="21"/>
        <v>0</v>
      </c>
      <c r="T25" s="302">
        <f t="shared" si="22"/>
        <v>0</v>
      </c>
      <c r="U25" s="199">
        <f t="shared" si="23"/>
        <v>0</v>
      </c>
      <c r="V25" s="277">
        <f t="shared" si="1"/>
        <v>0</v>
      </c>
      <c r="W25" s="255">
        <f t="shared" si="2"/>
        <v>0</v>
      </c>
      <c r="X25" s="255">
        <f t="shared" si="3"/>
        <v>0</v>
      </c>
      <c r="Y25" s="278">
        <f t="shared" si="24"/>
        <v>0</v>
      </c>
      <c r="Z25" s="256">
        <f t="shared" si="4"/>
        <v>0</v>
      </c>
      <c r="AA25" s="187" t="str">
        <f t="shared" si="5"/>
        <v>ok</v>
      </c>
      <c r="AB25" s="38">
        <f t="shared" si="6"/>
        <v>0</v>
      </c>
      <c r="AC25" s="38">
        <f t="shared" si="25"/>
        <v>0</v>
      </c>
      <c r="AD25" s="38">
        <f t="shared" si="7"/>
        <v>0</v>
      </c>
      <c r="AE25" s="202">
        <f t="shared" si="8"/>
        <v>0</v>
      </c>
      <c r="AF25" s="203">
        <f t="shared" si="29"/>
        <v>0</v>
      </c>
      <c r="AG25" s="203">
        <f t="shared" si="29"/>
        <v>0</v>
      </c>
      <c r="AH25" s="204">
        <v>110</v>
      </c>
      <c r="AI25" s="205">
        <f t="shared" si="28"/>
        <v>0</v>
      </c>
      <c r="AJ25" s="206">
        <f t="shared" si="10"/>
        <v>0</v>
      </c>
      <c r="AK25" s="207">
        <f t="shared" si="11"/>
        <v>0</v>
      </c>
      <c r="AL25" s="205">
        <f t="shared" si="26"/>
        <v>0</v>
      </c>
      <c r="AM25" s="202">
        <f t="shared" si="12"/>
        <v>0</v>
      </c>
      <c r="AN25" s="208">
        <f t="shared" si="13"/>
        <v>0</v>
      </c>
      <c r="AO25" s="203">
        <f t="shared" si="14"/>
        <v>0</v>
      </c>
      <c r="AP25" s="203">
        <f t="shared" si="15"/>
        <v>0</v>
      </c>
      <c r="AQ25" s="208">
        <f t="shared" si="16"/>
        <v>0</v>
      </c>
      <c r="AR25" s="208">
        <f t="shared" si="17"/>
        <v>0</v>
      </c>
      <c r="AS25" s="208">
        <f t="shared" si="27"/>
        <v>0</v>
      </c>
      <c r="AT25" s="208">
        <f t="shared" si="27"/>
        <v>0</v>
      </c>
      <c r="AU25" s="187"/>
    </row>
    <row r="26" spans="1:48" ht="14.25" customHeight="1" x14ac:dyDescent="0.15">
      <c r="A26" s="187"/>
      <c r="B26" s="223">
        <v>22</v>
      </c>
      <c r="C26" s="284" t="s">
        <v>597</v>
      </c>
      <c r="D26" s="227">
        <v>10.5</v>
      </c>
      <c r="E26" s="187"/>
      <c r="F26" s="290"/>
      <c r="G26" s="298">
        <f t="shared" si="0"/>
        <v>0</v>
      </c>
      <c r="H26" s="167"/>
      <c r="I26" s="166"/>
      <c r="J26" s="39"/>
      <c r="K26" s="37"/>
      <c r="L26" s="37"/>
      <c r="M26" s="183">
        <v>1</v>
      </c>
      <c r="N26" s="292"/>
      <c r="O26" s="187">
        <v>21</v>
      </c>
      <c r="P26" s="303">
        <f t="shared" si="18"/>
        <v>0</v>
      </c>
      <c r="Q26" s="300">
        <f t="shared" si="19"/>
        <v>0</v>
      </c>
      <c r="R26" s="301">
        <f t="shared" si="20"/>
        <v>0</v>
      </c>
      <c r="S26" s="199">
        <f t="shared" si="21"/>
        <v>0</v>
      </c>
      <c r="T26" s="302">
        <f t="shared" si="22"/>
        <v>0</v>
      </c>
      <c r="U26" s="199">
        <f t="shared" si="23"/>
        <v>0</v>
      </c>
      <c r="V26" s="277">
        <f t="shared" si="1"/>
        <v>0</v>
      </c>
      <c r="W26" s="255">
        <f t="shared" si="2"/>
        <v>0</v>
      </c>
      <c r="X26" s="255">
        <f t="shared" si="3"/>
        <v>0</v>
      </c>
      <c r="Y26" s="278">
        <f t="shared" si="24"/>
        <v>0</v>
      </c>
      <c r="Z26" s="256">
        <f t="shared" si="4"/>
        <v>0</v>
      </c>
      <c r="AA26" s="187" t="str">
        <f t="shared" si="5"/>
        <v>ok</v>
      </c>
      <c r="AB26" s="38">
        <f t="shared" si="6"/>
        <v>0</v>
      </c>
      <c r="AC26" s="38">
        <f t="shared" si="25"/>
        <v>0</v>
      </c>
      <c r="AD26" s="38">
        <f t="shared" si="7"/>
        <v>0</v>
      </c>
      <c r="AE26" s="202">
        <f t="shared" si="8"/>
        <v>0</v>
      </c>
      <c r="AF26" s="203">
        <f t="shared" si="29"/>
        <v>0</v>
      </c>
      <c r="AG26" s="203">
        <f t="shared" si="29"/>
        <v>0</v>
      </c>
      <c r="AH26" s="204">
        <v>110</v>
      </c>
      <c r="AI26" s="205">
        <f t="shared" si="28"/>
        <v>0</v>
      </c>
      <c r="AJ26" s="206">
        <f t="shared" si="10"/>
        <v>0</v>
      </c>
      <c r="AK26" s="207">
        <f t="shared" si="11"/>
        <v>0</v>
      </c>
      <c r="AL26" s="205">
        <f t="shared" si="26"/>
        <v>0</v>
      </c>
      <c r="AM26" s="202">
        <f t="shared" si="12"/>
        <v>0</v>
      </c>
      <c r="AN26" s="208">
        <f t="shared" si="13"/>
        <v>0</v>
      </c>
      <c r="AO26" s="203">
        <f t="shared" si="14"/>
        <v>0</v>
      </c>
      <c r="AP26" s="203">
        <f t="shared" si="15"/>
        <v>0</v>
      </c>
      <c r="AQ26" s="208">
        <f t="shared" si="16"/>
        <v>0</v>
      </c>
      <c r="AR26" s="208">
        <f t="shared" si="17"/>
        <v>0</v>
      </c>
      <c r="AS26" s="208">
        <f t="shared" si="27"/>
        <v>0</v>
      </c>
      <c r="AT26" s="208">
        <f t="shared" si="27"/>
        <v>0</v>
      </c>
      <c r="AU26" s="187"/>
    </row>
    <row r="27" spans="1:48" ht="14.25" customHeight="1" x14ac:dyDescent="0.15">
      <c r="A27" s="187"/>
      <c r="B27" s="223">
        <v>23</v>
      </c>
      <c r="C27" s="284" t="s">
        <v>598</v>
      </c>
      <c r="D27" s="227">
        <v>0.3</v>
      </c>
      <c r="E27" s="187"/>
      <c r="F27" s="290"/>
      <c r="G27" s="298">
        <f t="shared" si="0"/>
        <v>0</v>
      </c>
      <c r="H27" s="167"/>
      <c r="I27" s="166"/>
      <c r="J27" s="39"/>
      <c r="K27" s="37"/>
      <c r="L27" s="37"/>
      <c r="M27" s="183">
        <v>1</v>
      </c>
      <c r="N27" s="292"/>
      <c r="O27" s="187">
        <v>22</v>
      </c>
      <c r="P27" s="303">
        <f t="shared" si="18"/>
        <v>0</v>
      </c>
      <c r="Q27" s="300">
        <f t="shared" si="19"/>
        <v>0</v>
      </c>
      <c r="R27" s="301">
        <f t="shared" si="20"/>
        <v>0</v>
      </c>
      <c r="S27" s="199">
        <f t="shared" si="21"/>
        <v>0</v>
      </c>
      <c r="T27" s="302">
        <f t="shared" si="22"/>
        <v>0</v>
      </c>
      <c r="U27" s="199">
        <f t="shared" si="23"/>
        <v>0</v>
      </c>
      <c r="V27" s="277">
        <f t="shared" si="1"/>
        <v>0</v>
      </c>
      <c r="W27" s="255">
        <f t="shared" si="2"/>
        <v>0</v>
      </c>
      <c r="X27" s="255">
        <f t="shared" si="3"/>
        <v>0</v>
      </c>
      <c r="Y27" s="278">
        <f t="shared" si="24"/>
        <v>0</v>
      </c>
      <c r="Z27" s="256">
        <f t="shared" si="4"/>
        <v>0</v>
      </c>
      <c r="AA27" s="187" t="str">
        <f t="shared" si="5"/>
        <v>ok</v>
      </c>
      <c r="AB27" s="38">
        <f t="shared" si="6"/>
        <v>0</v>
      </c>
      <c r="AC27" s="38">
        <f t="shared" si="25"/>
        <v>0</v>
      </c>
      <c r="AD27" s="38">
        <f t="shared" si="7"/>
        <v>0</v>
      </c>
      <c r="AE27" s="202">
        <f t="shared" si="8"/>
        <v>0</v>
      </c>
      <c r="AF27" s="203">
        <f t="shared" si="29"/>
        <v>0</v>
      </c>
      <c r="AG27" s="203">
        <f t="shared" si="29"/>
        <v>0</v>
      </c>
      <c r="AH27" s="204">
        <v>110</v>
      </c>
      <c r="AI27" s="205">
        <f t="shared" si="28"/>
        <v>0</v>
      </c>
      <c r="AJ27" s="206">
        <f t="shared" si="10"/>
        <v>0</v>
      </c>
      <c r="AK27" s="207">
        <f t="shared" si="11"/>
        <v>0</v>
      </c>
      <c r="AL27" s="205">
        <f t="shared" si="26"/>
        <v>0</v>
      </c>
      <c r="AM27" s="202">
        <f t="shared" si="12"/>
        <v>0</v>
      </c>
      <c r="AN27" s="208">
        <f t="shared" si="13"/>
        <v>0</v>
      </c>
      <c r="AO27" s="203">
        <f t="shared" si="14"/>
        <v>0</v>
      </c>
      <c r="AP27" s="203">
        <f t="shared" si="15"/>
        <v>0</v>
      </c>
      <c r="AQ27" s="208">
        <f t="shared" si="16"/>
        <v>0</v>
      </c>
      <c r="AR27" s="208">
        <f t="shared" si="17"/>
        <v>0</v>
      </c>
      <c r="AS27" s="208">
        <f t="shared" si="27"/>
        <v>0</v>
      </c>
      <c r="AT27" s="208">
        <f t="shared" si="27"/>
        <v>0</v>
      </c>
      <c r="AU27" s="187"/>
    </row>
    <row r="28" spans="1:48" ht="14.25" customHeight="1" x14ac:dyDescent="0.15">
      <c r="A28" s="187"/>
      <c r="B28" s="223">
        <v>24</v>
      </c>
      <c r="C28" s="284" t="s">
        <v>599</v>
      </c>
      <c r="D28" s="227">
        <v>0.3</v>
      </c>
      <c r="E28" s="187"/>
      <c r="F28" s="290"/>
      <c r="G28" s="298">
        <f t="shared" si="0"/>
        <v>0</v>
      </c>
      <c r="H28" s="167"/>
      <c r="I28" s="166"/>
      <c r="J28" s="39"/>
      <c r="K28" s="37"/>
      <c r="L28" s="37"/>
      <c r="M28" s="183">
        <v>1</v>
      </c>
      <c r="N28" s="292"/>
      <c r="O28" s="187">
        <v>23</v>
      </c>
      <c r="P28" s="303">
        <f t="shared" si="18"/>
        <v>0</v>
      </c>
      <c r="Q28" s="300">
        <f t="shared" si="19"/>
        <v>0</v>
      </c>
      <c r="R28" s="301">
        <f t="shared" si="20"/>
        <v>0</v>
      </c>
      <c r="S28" s="199">
        <f t="shared" si="21"/>
        <v>0</v>
      </c>
      <c r="T28" s="302">
        <f t="shared" si="22"/>
        <v>0</v>
      </c>
      <c r="U28" s="199">
        <f t="shared" si="23"/>
        <v>0</v>
      </c>
      <c r="V28" s="277">
        <f t="shared" si="1"/>
        <v>0</v>
      </c>
      <c r="W28" s="255">
        <f t="shared" si="2"/>
        <v>0</v>
      </c>
      <c r="X28" s="255">
        <f t="shared" si="3"/>
        <v>0</v>
      </c>
      <c r="Y28" s="278">
        <f t="shared" si="24"/>
        <v>0</v>
      </c>
      <c r="Z28" s="256">
        <f t="shared" si="4"/>
        <v>0</v>
      </c>
      <c r="AA28" s="187" t="str">
        <f t="shared" si="5"/>
        <v>ok</v>
      </c>
      <c r="AB28" s="38">
        <f t="shared" si="6"/>
        <v>0</v>
      </c>
      <c r="AC28" s="38">
        <f t="shared" si="25"/>
        <v>0</v>
      </c>
      <c r="AD28" s="38">
        <f t="shared" si="7"/>
        <v>0</v>
      </c>
      <c r="AE28" s="202">
        <f t="shared" si="8"/>
        <v>0</v>
      </c>
      <c r="AF28" s="203">
        <f t="shared" si="29"/>
        <v>0</v>
      </c>
      <c r="AG28" s="203">
        <f t="shared" si="29"/>
        <v>0</v>
      </c>
      <c r="AH28" s="204">
        <v>110</v>
      </c>
      <c r="AI28" s="205">
        <f t="shared" si="28"/>
        <v>0</v>
      </c>
      <c r="AJ28" s="206">
        <f t="shared" si="10"/>
        <v>0</v>
      </c>
      <c r="AK28" s="207">
        <f t="shared" si="11"/>
        <v>0</v>
      </c>
      <c r="AL28" s="205">
        <f t="shared" si="26"/>
        <v>0</v>
      </c>
      <c r="AM28" s="202">
        <f t="shared" si="12"/>
        <v>0</v>
      </c>
      <c r="AN28" s="208">
        <f t="shared" si="13"/>
        <v>0</v>
      </c>
      <c r="AO28" s="203">
        <f t="shared" si="14"/>
        <v>0</v>
      </c>
      <c r="AP28" s="203">
        <f t="shared" si="15"/>
        <v>0</v>
      </c>
      <c r="AQ28" s="208">
        <f t="shared" si="16"/>
        <v>0</v>
      </c>
      <c r="AR28" s="208">
        <f t="shared" si="17"/>
        <v>0</v>
      </c>
      <c r="AS28" s="208">
        <f t="shared" si="27"/>
        <v>0</v>
      </c>
      <c r="AT28" s="208">
        <f t="shared" si="27"/>
        <v>0</v>
      </c>
      <c r="AU28" s="187"/>
    </row>
    <row r="29" spans="1:48" ht="14.25" customHeight="1" x14ac:dyDescent="0.15">
      <c r="A29" s="187"/>
      <c r="B29" s="223">
        <v>25</v>
      </c>
      <c r="C29" s="284" t="s">
        <v>600</v>
      </c>
      <c r="D29" s="227">
        <v>0.3</v>
      </c>
      <c r="E29" s="187"/>
      <c r="F29" s="290"/>
      <c r="G29" s="298">
        <f t="shared" si="0"/>
        <v>0</v>
      </c>
      <c r="H29" s="167"/>
      <c r="I29" s="166"/>
      <c r="J29" s="39"/>
      <c r="K29" s="37"/>
      <c r="L29" s="37"/>
      <c r="M29" s="183">
        <v>1</v>
      </c>
      <c r="N29" s="292"/>
      <c r="O29" s="187">
        <v>24</v>
      </c>
      <c r="P29" s="303">
        <f t="shared" si="18"/>
        <v>0</v>
      </c>
      <c r="Q29" s="300">
        <f t="shared" si="19"/>
        <v>0</v>
      </c>
      <c r="R29" s="301">
        <f t="shared" si="20"/>
        <v>0</v>
      </c>
      <c r="S29" s="199">
        <f t="shared" si="21"/>
        <v>0</v>
      </c>
      <c r="T29" s="302">
        <f t="shared" si="22"/>
        <v>0</v>
      </c>
      <c r="U29" s="199">
        <f t="shared" si="23"/>
        <v>0</v>
      </c>
      <c r="V29" s="277">
        <f t="shared" si="1"/>
        <v>0</v>
      </c>
      <c r="W29" s="255">
        <f t="shared" si="2"/>
        <v>0</v>
      </c>
      <c r="X29" s="255">
        <f t="shared" si="3"/>
        <v>0</v>
      </c>
      <c r="Y29" s="278">
        <f t="shared" si="24"/>
        <v>0</v>
      </c>
      <c r="Z29" s="256">
        <f t="shared" si="4"/>
        <v>0</v>
      </c>
      <c r="AA29" s="187" t="str">
        <f t="shared" si="5"/>
        <v>ok</v>
      </c>
      <c r="AB29" s="38">
        <f t="shared" si="6"/>
        <v>0</v>
      </c>
      <c r="AC29" s="38">
        <f t="shared" si="25"/>
        <v>0</v>
      </c>
      <c r="AD29" s="38">
        <f t="shared" si="7"/>
        <v>0</v>
      </c>
      <c r="AE29" s="202">
        <f t="shared" si="8"/>
        <v>0</v>
      </c>
      <c r="AF29" s="203">
        <f t="shared" si="29"/>
        <v>0</v>
      </c>
      <c r="AG29" s="203">
        <f t="shared" si="29"/>
        <v>0</v>
      </c>
      <c r="AH29" s="204">
        <v>110</v>
      </c>
      <c r="AI29" s="205">
        <f t="shared" si="28"/>
        <v>0</v>
      </c>
      <c r="AJ29" s="206">
        <f t="shared" si="10"/>
        <v>0</v>
      </c>
      <c r="AK29" s="207">
        <f t="shared" si="11"/>
        <v>0</v>
      </c>
      <c r="AL29" s="205">
        <f t="shared" si="26"/>
        <v>0</v>
      </c>
      <c r="AM29" s="202">
        <f t="shared" si="12"/>
        <v>0</v>
      </c>
      <c r="AN29" s="208">
        <f t="shared" si="13"/>
        <v>0</v>
      </c>
      <c r="AO29" s="203">
        <f t="shared" si="14"/>
        <v>0</v>
      </c>
      <c r="AP29" s="203">
        <f t="shared" si="15"/>
        <v>0</v>
      </c>
      <c r="AQ29" s="208">
        <f t="shared" si="16"/>
        <v>0</v>
      </c>
      <c r="AR29" s="208">
        <f t="shared" si="17"/>
        <v>0</v>
      </c>
      <c r="AS29" s="208">
        <f t="shared" si="27"/>
        <v>0</v>
      </c>
      <c r="AT29" s="208">
        <f t="shared" si="27"/>
        <v>0</v>
      </c>
      <c r="AU29" s="187"/>
    </row>
    <row r="30" spans="1:48" ht="14.25" customHeight="1" x14ac:dyDescent="0.15">
      <c r="A30" s="187"/>
      <c r="B30" s="223">
        <v>26</v>
      </c>
      <c r="C30" s="284" t="s">
        <v>601</v>
      </c>
      <c r="D30" s="227">
        <v>22.8</v>
      </c>
      <c r="E30" s="187"/>
      <c r="F30" s="290"/>
      <c r="G30" s="298">
        <f t="shared" si="0"/>
        <v>0</v>
      </c>
      <c r="H30" s="167"/>
      <c r="I30" s="166"/>
      <c r="J30" s="39"/>
      <c r="K30" s="37"/>
      <c r="L30" s="37"/>
      <c r="M30" s="183">
        <v>1</v>
      </c>
      <c r="N30" s="292"/>
      <c r="O30" s="187">
        <v>25</v>
      </c>
      <c r="P30" s="303">
        <f t="shared" si="18"/>
        <v>0</v>
      </c>
      <c r="Q30" s="300">
        <f t="shared" si="19"/>
        <v>0</v>
      </c>
      <c r="R30" s="301">
        <f t="shared" si="20"/>
        <v>0</v>
      </c>
      <c r="S30" s="199">
        <f t="shared" si="21"/>
        <v>0</v>
      </c>
      <c r="T30" s="302">
        <f t="shared" si="22"/>
        <v>0</v>
      </c>
      <c r="U30" s="199">
        <f t="shared" si="23"/>
        <v>0</v>
      </c>
      <c r="V30" s="277">
        <f t="shared" si="1"/>
        <v>0</v>
      </c>
      <c r="W30" s="255">
        <f t="shared" si="2"/>
        <v>0</v>
      </c>
      <c r="X30" s="255">
        <f t="shared" si="3"/>
        <v>0</v>
      </c>
      <c r="Y30" s="278">
        <f t="shared" si="24"/>
        <v>0</v>
      </c>
      <c r="Z30" s="256">
        <f t="shared" si="4"/>
        <v>0</v>
      </c>
      <c r="AA30" s="187" t="str">
        <f t="shared" si="5"/>
        <v>ok</v>
      </c>
      <c r="AB30" s="38">
        <f t="shared" si="6"/>
        <v>0</v>
      </c>
      <c r="AC30" s="38">
        <f t="shared" si="25"/>
        <v>0</v>
      </c>
      <c r="AD30" s="38">
        <f t="shared" si="7"/>
        <v>0</v>
      </c>
      <c r="AE30" s="202">
        <f t="shared" si="8"/>
        <v>0</v>
      </c>
      <c r="AF30" s="203">
        <f t="shared" si="29"/>
        <v>0</v>
      </c>
      <c r="AG30" s="203">
        <f t="shared" si="29"/>
        <v>0</v>
      </c>
      <c r="AH30" s="204">
        <v>110</v>
      </c>
      <c r="AI30" s="205">
        <f t="shared" si="28"/>
        <v>0</v>
      </c>
      <c r="AJ30" s="206">
        <f t="shared" si="10"/>
        <v>0</v>
      </c>
      <c r="AK30" s="207">
        <f t="shared" si="11"/>
        <v>0</v>
      </c>
      <c r="AL30" s="205">
        <f t="shared" si="26"/>
        <v>0</v>
      </c>
      <c r="AM30" s="202">
        <f t="shared" si="12"/>
        <v>0</v>
      </c>
      <c r="AN30" s="208">
        <f t="shared" si="13"/>
        <v>0</v>
      </c>
      <c r="AO30" s="203">
        <f t="shared" si="14"/>
        <v>0</v>
      </c>
      <c r="AP30" s="203">
        <f t="shared" si="15"/>
        <v>0</v>
      </c>
      <c r="AQ30" s="208">
        <f t="shared" si="16"/>
        <v>0</v>
      </c>
      <c r="AR30" s="208">
        <f t="shared" si="17"/>
        <v>0</v>
      </c>
      <c r="AS30" s="208">
        <f t="shared" si="27"/>
        <v>0</v>
      </c>
      <c r="AT30" s="208">
        <f t="shared" si="27"/>
        <v>0</v>
      </c>
      <c r="AU30" s="187"/>
    </row>
    <row r="31" spans="1:48" ht="14.25" customHeight="1" x14ac:dyDescent="0.15">
      <c r="A31" s="187"/>
      <c r="B31" s="223">
        <v>27</v>
      </c>
      <c r="C31" s="284" t="s">
        <v>602</v>
      </c>
      <c r="D31" s="227">
        <v>3.5</v>
      </c>
      <c r="E31" s="187"/>
      <c r="F31" s="290"/>
      <c r="G31" s="298">
        <f t="shared" si="0"/>
        <v>0</v>
      </c>
      <c r="H31" s="167"/>
      <c r="I31" s="166"/>
      <c r="J31" s="39"/>
      <c r="K31" s="37"/>
      <c r="L31" s="37"/>
      <c r="M31" s="183">
        <v>1</v>
      </c>
      <c r="N31" s="292"/>
      <c r="O31" s="187">
        <v>26</v>
      </c>
      <c r="P31" s="303">
        <f t="shared" si="18"/>
        <v>0</v>
      </c>
      <c r="Q31" s="300">
        <f t="shared" si="19"/>
        <v>0</v>
      </c>
      <c r="R31" s="301">
        <f t="shared" si="20"/>
        <v>0</v>
      </c>
      <c r="S31" s="199">
        <f t="shared" si="21"/>
        <v>0</v>
      </c>
      <c r="T31" s="302">
        <f t="shared" si="22"/>
        <v>0</v>
      </c>
      <c r="U31" s="199">
        <f t="shared" si="23"/>
        <v>0</v>
      </c>
      <c r="V31" s="277">
        <f t="shared" si="1"/>
        <v>0</v>
      </c>
      <c r="W31" s="255">
        <f t="shared" si="2"/>
        <v>0</v>
      </c>
      <c r="X31" s="255">
        <f t="shared" si="3"/>
        <v>0</v>
      </c>
      <c r="Y31" s="278">
        <f t="shared" si="24"/>
        <v>0</v>
      </c>
      <c r="Z31" s="256">
        <f t="shared" si="4"/>
        <v>0</v>
      </c>
      <c r="AA31" s="187" t="str">
        <f t="shared" si="5"/>
        <v>ok</v>
      </c>
      <c r="AB31" s="38">
        <f t="shared" si="6"/>
        <v>0</v>
      </c>
      <c r="AC31" s="38">
        <f t="shared" si="25"/>
        <v>0</v>
      </c>
      <c r="AD31" s="38">
        <f t="shared" si="7"/>
        <v>0</v>
      </c>
      <c r="AE31" s="202">
        <f t="shared" si="8"/>
        <v>0</v>
      </c>
      <c r="AF31" s="203">
        <f t="shared" si="29"/>
        <v>0</v>
      </c>
      <c r="AG31" s="203">
        <f t="shared" si="29"/>
        <v>0</v>
      </c>
      <c r="AH31" s="204">
        <v>110</v>
      </c>
      <c r="AI31" s="205">
        <f t="shared" si="28"/>
        <v>0</v>
      </c>
      <c r="AJ31" s="206">
        <f t="shared" si="10"/>
        <v>0</v>
      </c>
      <c r="AK31" s="207">
        <f t="shared" si="11"/>
        <v>0</v>
      </c>
      <c r="AL31" s="205">
        <f t="shared" si="26"/>
        <v>0</v>
      </c>
      <c r="AM31" s="202">
        <f t="shared" si="12"/>
        <v>0</v>
      </c>
      <c r="AN31" s="208">
        <f t="shared" si="13"/>
        <v>0</v>
      </c>
      <c r="AO31" s="203">
        <f t="shared" si="14"/>
        <v>0</v>
      </c>
      <c r="AP31" s="203">
        <f t="shared" si="15"/>
        <v>0</v>
      </c>
      <c r="AQ31" s="208">
        <f t="shared" si="16"/>
        <v>0</v>
      </c>
      <c r="AR31" s="208">
        <f t="shared" si="17"/>
        <v>0</v>
      </c>
      <c r="AS31" s="208">
        <f t="shared" si="27"/>
        <v>0</v>
      </c>
      <c r="AT31" s="208">
        <f t="shared" si="27"/>
        <v>0</v>
      </c>
      <c r="AU31" s="187"/>
    </row>
    <row r="32" spans="1:48" ht="14.25" customHeight="1" x14ac:dyDescent="0.15">
      <c r="A32" s="187"/>
      <c r="B32" s="223">
        <v>28</v>
      </c>
      <c r="C32" s="284" t="s">
        <v>603</v>
      </c>
      <c r="D32" s="227">
        <v>6.4</v>
      </c>
      <c r="E32" s="187"/>
      <c r="F32" s="290"/>
      <c r="G32" s="298">
        <f t="shared" si="0"/>
        <v>0</v>
      </c>
      <c r="H32" s="167"/>
      <c r="I32" s="166"/>
      <c r="J32" s="39"/>
      <c r="K32" s="37"/>
      <c r="L32" s="37"/>
      <c r="M32" s="183">
        <v>1</v>
      </c>
      <c r="N32" s="292"/>
      <c r="O32" s="187">
        <v>27</v>
      </c>
      <c r="P32" s="303">
        <f t="shared" si="18"/>
        <v>0</v>
      </c>
      <c r="Q32" s="300">
        <f t="shared" si="19"/>
        <v>0</v>
      </c>
      <c r="R32" s="301">
        <f t="shared" si="20"/>
        <v>0</v>
      </c>
      <c r="S32" s="199">
        <f t="shared" si="21"/>
        <v>0</v>
      </c>
      <c r="T32" s="302">
        <f t="shared" si="22"/>
        <v>0</v>
      </c>
      <c r="U32" s="199">
        <f t="shared" si="23"/>
        <v>0</v>
      </c>
      <c r="V32" s="277">
        <f t="shared" si="1"/>
        <v>0</v>
      </c>
      <c r="W32" s="255">
        <f t="shared" si="2"/>
        <v>0</v>
      </c>
      <c r="X32" s="255">
        <f t="shared" si="3"/>
        <v>0</v>
      </c>
      <c r="Y32" s="278">
        <f t="shared" si="24"/>
        <v>0</v>
      </c>
      <c r="Z32" s="256">
        <f t="shared" si="4"/>
        <v>0</v>
      </c>
      <c r="AA32" s="187" t="str">
        <f t="shared" si="5"/>
        <v>ok</v>
      </c>
      <c r="AB32" s="38">
        <f t="shared" si="6"/>
        <v>0</v>
      </c>
      <c r="AC32" s="38">
        <f t="shared" si="25"/>
        <v>0</v>
      </c>
      <c r="AD32" s="38">
        <f t="shared" si="7"/>
        <v>0</v>
      </c>
      <c r="AE32" s="202">
        <f t="shared" si="8"/>
        <v>0</v>
      </c>
      <c r="AF32" s="203">
        <f t="shared" si="29"/>
        <v>0</v>
      </c>
      <c r="AG32" s="203">
        <f t="shared" si="29"/>
        <v>0</v>
      </c>
      <c r="AH32" s="204">
        <v>110</v>
      </c>
      <c r="AI32" s="205">
        <f t="shared" si="28"/>
        <v>0</v>
      </c>
      <c r="AJ32" s="206">
        <f t="shared" si="10"/>
        <v>0</v>
      </c>
      <c r="AK32" s="207">
        <f t="shared" si="11"/>
        <v>0</v>
      </c>
      <c r="AL32" s="205">
        <f t="shared" si="26"/>
        <v>0</v>
      </c>
      <c r="AM32" s="202">
        <f t="shared" si="12"/>
        <v>0</v>
      </c>
      <c r="AN32" s="208">
        <f t="shared" si="13"/>
        <v>0</v>
      </c>
      <c r="AO32" s="203">
        <f t="shared" si="14"/>
        <v>0</v>
      </c>
      <c r="AP32" s="203">
        <f t="shared" si="15"/>
        <v>0</v>
      </c>
      <c r="AQ32" s="208">
        <f t="shared" si="16"/>
        <v>0</v>
      </c>
      <c r="AR32" s="208">
        <f t="shared" si="17"/>
        <v>0</v>
      </c>
      <c r="AS32" s="208">
        <f t="shared" si="27"/>
        <v>0</v>
      </c>
      <c r="AT32" s="208">
        <f t="shared" si="27"/>
        <v>0</v>
      </c>
      <c r="AU32" s="187"/>
    </row>
    <row r="33" spans="1:50" ht="14.25" customHeight="1" x14ac:dyDescent="0.15">
      <c r="A33" s="187"/>
      <c r="B33" s="223">
        <v>29</v>
      </c>
      <c r="C33" s="284" t="s">
        <v>604</v>
      </c>
      <c r="D33" s="227"/>
      <c r="E33" s="187"/>
      <c r="F33" s="290"/>
      <c r="G33" s="298">
        <f t="shared" si="0"/>
        <v>0</v>
      </c>
      <c r="H33" s="167"/>
      <c r="I33" s="166"/>
      <c r="J33" s="39"/>
      <c r="K33" s="37"/>
      <c r="L33" s="37"/>
      <c r="M33" s="183">
        <v>1</v>
      </c>
      <c r="N33" s="292"/>
      <c r="O33" s="187">
        <v>28</v>
      </c>
      <c r="P33" s="303">
        <f t="shared" si="18"/>
        <v>0</v>
      </c>
      <c r="Q33" s="300">
        <f t="shared" si="19"/>
        <v>0</v>
      </c>
      <c r="R33" s="301">
        <f t="shared" si="20"/>
        <v>0</v>
      </c>
      <c r="S33" s="199">
        <f t="shared" si="21"/>
        <v>0</v>
      </c>
      <c r="T33" s="302">
        <f t="shared" si="22"/>
        <v>0</v>
      </c>
      <c r="U33" s="199">
        <f t="shared" si="23"/>
        <v>0</v>
      </c>
      <c r="V33" s="277">
        <f t="shared" si="1"/>
        <v>0</v>
      </c>
      <c r="W33" s="255">
        <f t="shared" si="2"/>
        <v>0</v>
      </c>
      <c r="X33" s="255">
        <f t="shared" si="3"/>
        <v>0</v>
      </c>
      <c r="Y33" s="278">
        <f t="shared" si="24"/>
        <v>0</v>
      </c>
      <c r="Z33" s="256">
        <f t="shared" si="4"/>
        <v>0</v>
      </c>
      <c r="AA33" s="187" t="str">
        <f t="shared" si="5"/>
        <v>ok</v>
      </c>
      <c r="AB33" s="38">
        <f t="shared" si="6"/>
        <v>0</v>
      </c>
      <c r="AC33" s="38">
        <f t="shared" si="25"/>
        <v>0</v>
      </c>
      <c r="AD33" s="38">
        <f t="shared" si="7"/>
        <v>0</v>
      </c>
      <c r="AE33" s="202">
        <f t="shared" si="8"/>
        <v>0</v>
      </c>
      <c r="AF33" s="203">
        <f t="shared" si="29"/>
        <v>0</v>
      </c>
      <c r="AG33" s="203">
        <f t="shared" si="29"/>
        <v>0</v>
      </c>
      <c r="AH33" s="204">
        <v>110</v>
      </c>
      <c r="AI33" s="205">
        <f t="shared" si="28"/>
        <v>0</v>
      </c>
      <c r="AJ33" s="206">
        <f t="shared" si="10"/>
        <v>0</v>
      </c>
      <c r="AK33" s="207">
        <f t="shared" si="11"/>
        <v>0</v>
      </c>
      <c r="AL33" s="205">
        <f t="shared" si="26"/>
        <v>0</v>
      </c>
      <c r="AM33" s="202">
        <f t="shared" si="12"/>
        <v>0</v>
      </c>
      <c r="AN33" s="208">
        <f t="shared" si="13"/>
        <v>0</v>
      </c>
      <c r="AO33" s="203">
        <f t="shared" si="14"/>
        <v>0</v>
      </c>
      <c r="AP33" s="203">
        <f t="shared" si="15"/>
        <v>0</v>
      </c>
      <c r="AQ33" s="208">
        <f t="shared" si="16"/>
        <v>0</v>
      </c>
      <c r="AR33" s="208">
        <f t="shared" si="17"/>
        <v>0</v>
      </c>
      <c r="AS33" s="208">
        <f t="shared" si="27"/>
        <v>0</v>
      </c>
      <c r="AT33" s="208">
        <f t="shared" si="27"/>
        <v>0</v>
      </c>
      <c r="AU33" s="209"/>
      <c r="AV33" s="210"/>
      <c r="AW33" s="210"/>
    </row>
    <row r="34" spans="1:50" ht="14.25" customHeight="1" x14ac:dyDescent="0.15">
      <c r="A34" s="187"/>
      <c r="B34" s="223">
        <v>30</v>
      </c>
      <c r="C34" s="284" t="s">
        <v>605</v>
      </c>
      <c r="D34" s="227"/>
      <c r="E34" s="187"/>
      <c r="F34" s="290"/>
      <c r="G34" s="298">
        <f t="shared" si="0"/>
        <v>0</v>
      </c>
      <c r="H34" s="167"/>
      <c r="I34" s="166"/>
      <c r="J34" s="39"/>
      <c r="K34" s="37"/>
      <c r="L34" s="37"/>
      <c r="M34" s="183">
        <v>1</v>
      </c>
      <c r="N34" s="292"/>
      <c r="O34" s="187">
        <v>29</v>
      </c>
      <c r="P34" s="303">
        <f t="shared" si="18"/>
        <v>0</v>
      </c>
      <c r="Q34" s="300">
        <f t="shared" si="19"/>
        <v>0</v>
      </c>
      <c r="R34" s="301">
        <f t="shared" si="20"/>
        <v>0</v>
      </c>
      <c r="S34" s="199">
        <f t="shared" si="21"/>
        <v>0</v>
      </c>
      <c r="T34" s="302">
        <f t="shared" si="22"/>
        <v>0</v>
      </c>
      <c r="U34" s="199">
        <f t="shared" si="23"/>
        <v>0</v>
      </c>
      <c r="V34" s="277">
        <f t="shared" si="1"/>
        <v>0</v>
      </c>
      <c r="W34" s="255">
        <f t="shared" si="2"/>
        <v>0</v>
      </c>
      <c r="X34" s="255">
        <f t="shared" si="3"/>
        <v>0</v>
      </c>
      <c r="Y34" s="278">
        <f t="shared" si="24"/>
        <v>0</v>
      </c>
      <c r="Z34" s="256">
        <f t="shared" si="4"/>
        <v>0</v>
      </c>
      <c r="AA34" s="187" t="str">
        <f t="shared" si="5"/>
        <v>ok</v>
      </c>
      <c r="AB34" s="38">
        <f t="shared" si="6"/>
        <v>0</v>
      </c>
      <c r="AC34" s="38">
        <f t="shared" si="25"/>
        <v>0</v>
      </c>
      <c r="AD34" s="38">
        <f t="shared" si="7"/>
        <v>0</v>
      </c>
      <c r="AE34" s="202">
        <f t="shared" si="8"/>
        <v>0</v>
      </c>
      <c r="AF34" s="203">
        <f t="shared" si="29"/>
        <v>0</v>
      </c>
      <c r="AG34" s="203">
        <f t="shared" si="29"/>
        <v>0</v>
      </c>
      <c r="AH34" s="204">
        <v>110</v>
      </c>
      <c r="AI34" s="205">
        <f t="shared" si="28"/>
        <v>0</v>
      </c>
      <c r="AJ34" s="206">
        <f t="shared" si="10"/>
        <v>0</v>
      </c>
      <c r="AK34" s="207">
        <f t="shared" si="11"/>
        <v>0</v>
      </c>
      <c r="AL34" s="205">
        <f t="shared" si="26"/>
        <v>0</v>
      </c>
      <c r="AM34" s="202">
        <f t="shared" si="12"/>
        <v>0</v>
      </c>
      <c r="AN34" s="208">
        <f t="shared" si="13"/>
        <v>0</v>
      </c>
      <c r="AO34" s="203">
        <f t="shared" si="14"/>
        <v>0</v>
      </c>
      <c r="AP34" s="203">
        <f t="shared" si="15"/>
        <v>0</v>
      </c>
      <c r="AQ34" s="208">
        <f t="shared" si="16"/>
        <v>0</v>
      </c>
      <c r="AR34" s="208">
        <f t="shared" si="17"/>
        <v>0</v>
      </c>
      <c r="AS34" s="208">
        <f t="shared" si="27"/>
        <v>0</v>
      </c>
      <c r="AT34" s="208">
        <f t="shared" si="27"/>
        <v>0</v>
      </c>
      <c r="AU34" s="209"/>
      <c r="AV34" s="210"/>
      <c r="AW34" s="210"/>
    </row>
    <row r="35" spans="1:50" ht="14.25" customHeight="1" x14ac:dyDescent="0.15">
      <c r="A35" s="187"/>
      <c r="B35" s="223">
        <v>31</v>
      </c>
      <c r="C35" s="284" t="s">
        <v>606</v>
      </c>
      <c r="D35" s="227"/>
      <c r="E35" s="187"/>
      <c r="F35" s="290"/>
      <c r="G35" s="298">
        <f t="shared" si="0"/>
        <v>0</v>
      </c>
      <c r="H35" s="167"/>
      <c r="I35" s="166"/>
      <c r="J35" s="39"/>
      <c r="K35" s="37"/>
      <c r="L35" s="37"/>
      <c r="M35" s="183">
        <v>1</v>
      </c>
      <c r="N35" s="292"/>
      <c r="O35" s="187">
        <v>30</v>
      </c>
      <c r="P35" s="303">
        <f t="shared" si="18"/>
        <v>0</v>
      </c>
      <c r="Q35" s="300">
        <f t="shared" si="19"/>
        <v>0</v>
      </c>
      <c r="R35" s="301">
        <f t="shared" si="20"/>
        <v>0</v>
      </c>
      <c r="S35" s="199">
        <f t="shared" si="21"/>
        <v>0</v>
      </c>
      <c r="T35" s="302">
        <f t="shared" si="22"/>
        <v>0</v>
      </c>
      <c r="U35" s="199">
        <f t="shared" si="23"/>
        <v>0</v>
      </c>
      <c r="V35" s="277">
        <f t="shared" si="1"/>
        <v>0</v>
      </c>
      <c r="W35" s="255">
        <f t="shared" si="2"/>
        <v>0</v>
      </c>
      <c r="X35" s="255">
        <f t="shared" si="3"/>
        <v>0</v>
      </c>
      <c r="Y35" s="278">
        <f t="shared" si="24"/>
        <v>0</v>
      </c>
      <c r="Z35" s="256">
        <f t="shared" si="4"/>
        <v>0</v>
      </c>
      <c r="AA35" s="187" t="str">
        <f t="shared" si="5"/>
        <v>ok</v>
      </c>
      <c r="AB35" s="38">
        <f t="shared" si="6"/>
        <v>0</v>
      </c>
      <c r="AC35" s="38">
        <f t="shared" si="25"/>
        <v>0</v>
      </c>
      <c r="AD35" s="38">
        <f t="shared" si="7"/>
        <v>0</v>
      </c>
      <c r="AE35" s="202">
        <f t="shared" si="8"/>
        <v>0</v>
      </c>
      <c r="AF35" s="203">
        <f t="shared" si="29"/>
        <v>0</v>
      </c>
      <c r="AG35" s="203">
        <f t="shared" si="29"/>
        <v>0</v>
      </c>
      <c r="AH35" s="204">
        <v>110</v>
      </c>
      <c r="AI35" s="205">
        <f t="shared" si="28"/>
        <v>0</v>
      </c>
      <c r="AJ35" s="206">
        <f t="shared" si="10"/>
        <v>0</v>
      </c>
      <c r="AK35" s="207">
        <f t="shared" si="11"/>
        <v>0</v>
      </c>
      <c r="AL35" s="205">
        <f t="shared" si="26"/>
        <v>0</v>
      </c>
      <c r="AM35" s="202">
        <f t="shared" si="12"/>
        <v>0</v>
      </c>
      <c r="AN35" s="208">
        <f t="shared" si="13"/>
        <v>0</v>
      </c>
      <c r="AO35" s="203">
        <f t="shared" si="14"/>
        <v>0</v>
      </c>
      <c r="AP35" s="203">
        <f t="shared" si="15"/>
        <v>0</v>
      </c>
      <c r="AQ35" s="208">
        <f t="shared" si="16"/>
        <v>0</v>
      </c>
      <c r="AR35" s="208">
        <f t="shared" si="17"/>
        <v>0</v>
      </c>
      <c r="AS35" s="208">
        <f t="shared" si="27"/>
        <v>0</v>
      </c>
      <c r="AT35" s="208">
        <f t="shared" si="27"/>
        <v>0</v>
      </c>
      <c r="AU35" s="211"/>
      <c r="AV35" s="212"/>
    </row>
    <row r="36" spans="1:50" ht="14.25" customHeight="1" x14ac:dyDescent="0.15">
      <c r="A36" s="187"/>
      <c r="B36" s="223">
        <v>32</v>
      </c>
      <c r="C36" s="284" t="s">
        <v>607</v>
      </c>
      <c r="D36" s="227"/>
      <c r="E36" s="187"/>
      <c r="F36" s="290"/>
      <c r="G36" s="298">
        <f t="shared" si="0"/>
        <v>0</v>
      </c>
      <c r="H36" s="167"/>
      <c r="I36" s="166"/>
      <c r="J36" s="39"/>
      <c r="K36" s="37"/>
      <c r="L36" s="37"/>
      <c r="M36" s="183">
        <v>1</v>
      </c>
      <c r="N36" s="292"/>
      <c r="O36" s="187">
        <v>31</v>
      </c>
      <c r="P36" s="303">
        <f t="shared" si="18"/>
        <v>0</v>
      </c>
      <c r="Q36" s="300">
        <f t="shared" si="19"/>
        <v>0</v>
      </c>
      <c r="R36" s="301">
        <f t="shared" si="20"/>
        <v>0</v>
      </c>
      <c r="S36" s="199">
        <f t="shared" si="21"/>
        <v>0</v>
      </c>
      <c r="T36" s="302">
        <f t="shared" si="22"/>
        <v>0</v>
      </c>
      <c r="U36" s="199">
        <f t="shared" si="23"/>
        <v>0</v>
      </c>
      <c r="V36" s="277">
        <f t="shared" si="1"/>
        <v>0</v>
      </c>
      <c r="W36" s="255">
        <f t="shared" si="2"/>
        <v>0</v>
      </c>
      <c r="X36" s="255">
        <f t="shared" si="3"/>
        <v>0</v>
      </c>
      <c r="Y36" s="278">
        <f t="shared" si="24"/>
        <v>0</v>
      </c>
      <c r="Z36" s="256">
        <f t="shared" si="4"/>
        <v>0</v>
      </c>
      <c r="AA36" s="187" t="str">
        <f t="shared" si="5"/>
        <v>ok</v>
      </c>
      <c r="AB36" s="38">
        <f t="shared" si="6"/>
        <v>0</v>
      </c>
      <c r="AC36" s="38">
        <f t="shared" si="25"/>
        <v>0</v>
      </c>
      <c r="AD36" s="38">
        <f t="shared" si="7"/>
        <v>0</v>
      </c>
      <c r="AE36" s="202">
        <f t="shared" si="8"/>
        <v>0</v>
      </c>
      <c r="AF36" s="203">
        <f t="shared" si="29"/>
        <v>0</v>
      </c>
      <c r="AG36" s="203">
        <f t="shared" si="29"/>
        <v>0</v>
      </c>
      <c r="AH36" s="204">
        <v>110</v>
      </c>
      <c r="AI36" s="205">
        <f t="shared" si="28"/>
        <v>0</v>
      </c>
      <c r="AJ36" s="206">
        <f t="shared" si="10"/>
        <v>0</v>
      </c>
      <c r="AK36" s="207">
        <f t="shared" si="11"/>
        <v>0</v>
      </c>
      <c r="AL36" s="205">
        <f t="shared" si="26"/>
        <v>0</v>
      </c>
      <c r="AM36" s="202">
        <f t="shared" si="12"/>
        <v>0</v>
      </c>
      <c r="AN36" s="208">
        <f t="shared" si="13"/>
        <v>0</v>
      </c>
      <c r="AO36" s="203">
        <f t="shared" si="14"/>
        <v>0</v>
      </c>
      <c r="AP36" s="203">
        <f t="shared" si="15"/>
        <v>0</v>
      </c>
      <c r="AQ36" s="208">
        <f t="shared" si="16"/>
        <v>0</v>
      </c>
      <c r="AR36" s="208">
        <f t="shared" si="17"/>
        <v>0</v>
      </c>
      <c r="AS36" s="208">
        <f t="shared" si="27"/>
        <v>0</v>
      </c>
      <c r="AT36" s="208">
        <f t="shared" si="27"/>
        <v>0</v>
      </c>
      <c r="AU36" s="213"/>
      <c r="AV36" s="214"/>
    </row>
    <row r="37" spans="1:50" ht="14.25" customHeight="1" x14ac:dyDescent="0.15">
      <c r="A37" s="187"/>
      <c r="B37" s="223">
        <v>33</v>
      </c>
      <c r="C37" s="284" t="s">
        <v>608</v>
      </c>
      <c r="D37" s="227"/>
      <c r="E37" s="187"/>
      <c r="F37" s="290"/>
      <c r="G37" s="298">
        <f t="shared" si="0"/>
        <v>0</v>
      </c>
      <c r="H37" s="167"/>
      <c r="I37" s="166"/>
      <c r="J37" s="39"/>
      <c r="K37" s="37"/>
      <c r="L37" s="37"/>
      <c r="M37" s="183">
        <v>1</v>
      </c>
      <c r="N37" s="292"/>
      <c r="O37" s="187">
        <v>32</v>
      </c>
      <c r="P37" s="303">
        <f t="shared" si="18"/>
        <v>0</v>
      </c>
      <c r="Q37" s="300">
        <f t="shared" si="19"/>
        <v>0</v>
      </c>
      <c r="R37" s="301">
        <f t="shared" si="20"/>
        <v>0</v>
      </c>
      <c r="S37" s="199">
        <f t="shared" si="21"/>
        <v>0</v>
      </c>
      <c r="T37" s="302">
        <f t="shared" si="22"/>
        <v>0</v>
      </c>
      <c r="U37" s="199">
        <f t="shared" si="23"/>
        <v>0</v>
      </c>
      <c r="V37" s="277">
        <f t="shared" si="1"/>
        <v>0</v>
      </c>
      <c r="W37" s="255">
        <f t="shared" si="2"/>
        <v>0</v>
      </c>
      <c r="X37" s="255">
        <f t="shared" si="3"/>
        <v>0</v>
      </c>
      <c r="Y37" s="278">
        <f t="shared" si="24"/>
        <v>0</v>
      </c>
      <c r="Z37" s="256">
        <f t="shared" si="4"/>
        <v>0</v>
      </c>
      <c r="AA37" s="187" t="str">
        <f t="shared" si="5"/>
        <v>ok</v>
      </c>
      <c r="AB37" s="38">
        <f t="shared" si="6"/>
        <v>0</v>
      </c>
      <c r="AC37" s="38">
        <f t="shared" si="25"/>
        <v>0</v>
      </c>
      <c r="AD37" s="38">
        <f t="shared" si="7"/>
        <v>0</v>
      </c>
      <c r="AE37" s="202">
        <f t="shared" si="8"/>
        <v>0</v>
      </c>
      <c r="AF37" s="203">
        <f t="shared" si="29"/>
        <v>0</v>
      </c>
      <c r="AG37" s="203">
        <f t="shared" si="29"/>
        <v>0</v>
      </c>
      <c r="AH37" s="204">
        <v>110</v>
      </c>
      <c r="AI37" s="205">
        <f t="shared" si="28"/>
        <v>0</v>
      </c>
      <c r="AJ37" s="206">
        <f t="shared" si="10"/>
        <v>0</v>
      </c>
      <c r="AK37" s="207">
        <f t="shared" si="11"/>
        <v>0</v>
      </c>
      <c r="AL37" s="205">
        <f t="shared" si="26"/>
        <v>0</v>
      </c>
      <c r="AM37" s="202">
        <f t="shared" si="12"/>
        <v>0</v>
      </c>
      <c r="AN37" s="208">
        <f t="shared" si="13"/>
        <v>0</v>
      </c>
      <c r="AO37" s="203">
        <f t="shared" si="14"/>
        <v>0</v>
      </c>
      <c r="AP37" s="203">
        <f t="shared" si="15"/>
        <v>0</v>
      </c>
      <c r="AQ37" s="208">
        <f t="shared" si="16"/>
        <v>0</v>
      </c>
      <c r="AR37" s="208">
        <f t="shared" si="17"/>
        <v>0</v>
      </c>
      <c r="AS37" s="208">
        <f t="shared" si="27"/>
        <v>0</v>
      </c>
      <c r="AT37" s="208">
        <f t="shared" si="27"/>
        <v>0</v>
      </c>
      <c r="AU37" s="213"/>
      <c r="AV37" s="214"/>
    </row>
    <row r="38" spans="1:50" ht="14.25" customHeight="1" x14ac:dyDescent="0.15">
      <c r="A38" s="187"/>
      <c r="B38" s="223">
        <v>34</v>
      </c>
      <c r="C38" s="284" t="s">
        <v>609</v>
      </c>
      <c r="D38" s="227"/>
      <c r="E38" s="187"/>
      <c r="F38" s="290"/>
      <c r="G38" s="298">
        <f t="shared" si="0"/>
        <v>0</v>
      </c>
      <c r="H38" s="167"/>
      <c r="I38" s="166"/>
      <c r="J38" s="39"/>
      <c r="K38" s="37"/>
      <c r="L38" s="37"/>
      <c r="M38" s="183">
        <v>1</v>
      </c>
      <c r="N38" s="292"/>
      <c r="O38" s="187">
        <v>33</v>
      </c>
      <c r="P38" s="303">
        <f t="shared" si="18"/>
        <v>0</v>
      </c>
      <c r="Q38" s="300">
        <f t="shared" si="19"/>
        <v>0</v>
      </c>
      <c r="R38" s="301">
        <f t="shared" si="20"/>
        <v>0</v>
      </c>
      <c r="S38" s="199">
        <f t="shared" si="21"/>
        <v>0</v>
      </c>
      <c r="T38" s="302">
        <f t="shared" si="22"/>
        <v>0</v>
      </c>
      <c r="U38" s="199">
        <f t="shared" si="23"/>
        <v>0</v>
      </c>
      <c r="V38" s="277">
        <f t="shared" si="1"/>
        <v>0</v>
      </c>
      <c r="W38" s="255">
        <f t="shared" si="2"/>
        <v>0</v>
      </c>
      <c r="X38" s="255">
        <f t="shared" si="3"/>
        <v>0</v>
      </c>
      <c r="Y38" s="278">
        <f t="shared" si="24"/>
        <v>0</v>
      </c>
      <c r="Z38" s="256">
        <f t="shared" si="4"/>
        <v>0</v>
      </c>
      <c r="AA38" s="187" t="str">
        <f t="shared" si="5"/>
        <v>ok</v>
      </c>
      <c r="AB38" s="38">
        <f t="shared" si="6"/>
        <v>0</v>
      </c>
      <c r="AC38" s="38">
        <f t="shared" si="25"/>
        <v>0</v>
      </c>
      <c r="AD38" s="38">
        <f t="shared" si="7"/>
        <v>0</v>
      </c>
      <c r="AE38" s="202">
        <f t="shared" si="8"/>
        <v>0</v>
      </c>
      <c r="AF38" s="203">
        <f t="shared" si="29"/>
        <v>0</v>
      </c>
      <c r="AG38" s="203">
        <f t="shared" si="29"/>
        <v>0</v>
      </c>
      <c r="AH38" s="204">
        <v>110</v>
      </c>
      <c r="AI38" s="205">
        <f t="shared" si="28"/>
        <v>0</v>
      </c>
      <c r="AJ38" s="206">
        <f t="shared" si="10"/>
        <v>0</v>
      </c>
      <c r="AK38" s="207">
        <f t="shared" si="11"/>
        <v>0</v>
      </c>
      <c r="AL38" s="205">
        <f t="shared" si="26"/>
        <v>0</v>
      </c>
      <c r="AM38" s="202">
        <f t="shared" si="12"/>
        <v>0</v>
      </c>
      <c r="AN38" s="208">
        <f t="shared" si="13"/>
        <v>0</v>
      </c>
      <c r="AO38" s="203">
        <f t="shared" si="14"/>
        <v>0</v>
      </c>
      <c r="AP38" s="203">
        <f t="shared" si="15"/>
        <v>0</v>
      </c>
      <c r="AQ38" s="208">
        <f t="shared" si="16"/>
        <v>0</v>
      </c>
      <c r="AR38" s="208">
        <f t="shared" si="17"/>
        <v>0</v>
      </c>
      <c r="AS38" s="208">
        <f t="shared" si="27"/>
        <v>0</v>
      </c>
      <c r="AT38" s="208">
        <f t="shared" si="27"/>
        <v>0</v>
      </c>
      <c r="AU38" s="213"/>
      <c r="AV38" s="214"/>
      <c r="AX38" s="215"/>
    </row>
    <row r="39" spans="1:50" ht="14.25" customHeight="1" x14ac:dyDescent="0.15">
      <c r="A39" s="187"/>
      <c r="B39" s="223">
        <v>35</v>
      </c>
      <c r="C39" s="284" t="s">
        <v>610</v>
      </c>
      <c r="D39" s="227"/>
      <c r="E39" s="187"/>
      <c r="F39" s="290"/>
      <c r="G39" s="298">
        <f t="shared" si="0"/>
        <v>0</v>
      </c>
      <c r="H39" s="167"/>
      <c r="I39" s="166"/>
      <c r="J39" s="39"/>
      <c r="K39" s="37"/>
      <c r="L39" s="37"/>
      <c r="M39" s="183">
        <v>1</v>
      </c>
      <c r="N39" s="292"/>
      <c r="O39" s="187">
        <v>34</v>
      </c>
      <c r="P39" s="303">
        <f t="shared" si="18"/>
        <v>0</v>
      </c>
      <c r="Q39" s="300">
        <f t="shared" si="19"/>
        <v>0</v>
      </c>
      <c r="R39" s="301">
        <f t="shared" si="20"/>
        <v>0</v>
      </c>
      <c r="S39" s="199">
        <f t="shared" si="21"/>
        <v>0</v>
      </c>
      <c r="T39" s="302">
        <f t="shared" si="22"/>
        <v>0</v>
      </c>
      <c r="U39" s="199">
        <f t="shared" si="23"/>
        <v>0</v>
      </c>
      <c r="V39" s="277">
        <f t="shared" si="1"/>
        <v>0</v>
      </c>
      <c r="W39" s="255">
        <f t="shared" si="2"/>
        <v>0</v>
      </c>
      <c r="X39" s="255">
        <f t="shared" si="3"/>
        <v>0</v>
      </c>
      <c r="Y39" s="278">
        <f t="shared" si="24"/>
        <v>0</v>
      </c>
      <c r="Z39" s="256">
        <f t="shared" si="4"/>
        <v>0</v>
      </c>
      <c r="AA39" s="187" t="str">
        <f t="shared" si="5"/>
        <v>ok</v>
      </c>
      <c r="AB39" s="38">
        <f t="shared" si="6"/>
        <v>0</v>
      </c>
      <c r="AC39" s="38">
        <f t="shared" si="25"/>
        <v>0</v>
      </c>
      <c r="AD39" s="38">
        <f t="shared" si="7"/>
        <v>0</v>
      </c>
      <c r="AE39" s="202">
        <f t="shared" si="8"/>
        <v>0</v>
      </c>
      <c r="AF39" s="203">
        <f t="shared" si="29"/>
        <v>0</v>
      </c>
      <c r="AG39" s="203">
        <f t="shared" si="29"/>
        <v>0</v>
      </c>
      <c r="AH39" s="204">
        <v>110</v>
      </c>
      <c r="AI39" s="205">
        <f t="shared" si="28"/>
        <v>0</v>
      </c>
      <c r="AJ39" s="206">
        <f t="shared" si="10"/>
        <v>0</v>
      </c>
      <c r="AK39" s="207">
        <f t="shared" si="11"/>
        <v>0</v>
      </c>
      <c r="AL39" s="205">
        <f t="shared" si="26"/>
        <v>0</v>
      </c>
      <c r="AM39" s="202">
        <f t="shared" si="12"/>
        <v>0</v>
      </c>
      <c r="AN39" s="208">
        <f t="shared" si="13"/>
        <v>0</v>
      </c>
      <c r="AO39" s="203">
        <f t="shared" si="14"/>
        <v>0</v>
      </c>
      <c r="AP39" s="203">
        <f t="shared" si="15"/>
        <v>0</v>
      </c>
      <c r="AQ39" s="208">
        <f t="shared" si="16"/>
        <v>0</v>
      </c>
      <c r="AR39" s="208">
        <f t="shared" si="17"/>
        <v>0</v>
      </c>
      <c r="AS39" s="208">
        <f t="shared" si="27"/>
        <v>0</v>
      </c>
      <c r="AT39" s="208">
        <f t="shared" si="27"/>
        <v>0</v>
      </c>
      <c r="AU39" s="209"/>
      <c r="AV39" s="210"/>
    </row>
    <row r="40" spans="1:50" ht="14.25" customHeight="1" x14ac:dyDescent="0.15">
      <c r="A40" s="187"/>
      <c r="B40" s="223">
        <v>36</v>
      </c>
      <c r="C40" s="284" t="s">
        <v>611</v>
      </c>
      <c r="D40" s="227"/>
      <c r="E40" s="187"/>
      <c r="F40" s="290"/>
      <c r="G40" s="298">
        <f t="shared" si="0"/>
        <v>0</v>
      </c>
      <c r="H40" s="167"/>
      <c r="I40" s="166"/>
      <c r="J40" s="39"/>
      <c r="K40" s="37"/>
      <c r="L40" s="37"/>
      <c r="M40" s="183">
        <v>1</v>
      </c>
      <c r="N40" s="292"/>
      <c r="O40" s="187">
        <v>35</v>
      </c>
      <c r="P40" s="303">
        <f t="shared" si="18"/>
        <v>0</v>
      </c>
      <c r="Q40" s="300">
        <f t="shared" si="19"/>
        <v>0</v>
      </c>
      <c r="R40" s="301">
        <f t="shared" si="20"/>
        <v>0</v>
      </c>
      <c r="S40" s="199">
        <f t="shared" si="21"/>
        <v>0</v>
      </c>
      <c r="T40" s="302">
        <f t="shared" si="22"/>
        <v>0</v>
      </c>
      <c r="U40" s="199">
        <f t="shared" si="23"/>
        <v>0</v>
      </c>
      <c r="V40" s="277">
        <f t="shared" si="1"/>
        <v>0</v>
      </c>
      <c r="W40" s="255">
        <f t="shared" si="2"/>
        <v>0</v>
      </c>
      <c r="X40" s="255">
        <f t="shared" si="3"/>
        <v>0</v>
      </c>
      <c r="Y40" s="278">
        <f t="shared" si="24"/>
        <v>0</v>
      </c>
      <c r="Z40" s="256">
        <f t="shared" si="4"/>
        <v>0</v>
      </c>
      <c r="AA40" s="187" t="str">
        <f t="shared" si="5"/>
        <v>ok</v>
      </c>
      <c r="AB40" s="38">
        <f t="shared" si="6"/>
        <v>0</v>
      </c>
      <c r="AC40" s="38">
        <f t="shared" si="25"/>
        <v>0</v>
      </c>
      <c r="AD40" s="38">
        <f t="shared" si="7"/>
        <v>0</v>
      </c>
      <c r="AE40" s="202">
        <f t="shared" si="8"/>
        <v>0</v>
      </c>
      <c r="AF40" s="203">
        <f t="shared" si="29"/>
        <v>0</v>
      </c>
      <c r="AG40" s="203">
        <f t="shared" si="29"/>
        <v>0</v>
      </c>
      <c r="AH40" s="204">
        <v>110</v>
      </c>
      <c r="AI40" s="205">
        <f t="shared" si="28"/>
        <v>0</v>
      </c>
      <c r="AJ40" s="206">
        <f t="shared" si="10"/>
        <v>0</v>
      </c>
      <c r="AK40" s="207">
        <f t="shared" si="11"/>
        <v>0</v>
      </c>
      <c r="AL40" s="205">
        <f t="shared" si="26"/>
        <v>0</v>
      </c>
      <c r="AM40" s="202">
        <f t="shared" si="12"/>
        <v>0</v>
      </c>
      <c r="AN40" s="208">
        <f t="shared" si="13"/>
        <v>0</v>
      </c>
      <c r="AO40" s="203">
        <f t="shared" si="14"/>
        <v>0</v>
      </c>
      <c r="AP40" s="203">
        <f t="shared" si="15"/>
        <v>0</v>
      </c>
      <c r="AQ40" s="208">
        <f t="shared" si="16"/>
        <v>0</v>
      </c>
      <c r="AR40" s="208">
        <f t="shared" si="17"/>
        <v>0</v>
      </c>
      <c r="AS40" s="208">
        <f t="shared" si="27"/>
        <v>0</v>
      </c>
      <c r="AT40" s="208">
        <f t="shared" si="27"/>
        <v>0</v>
      </c>
      <c r="AU40" s="209"/>
      <c r="AV40" s="210"/>
      <c r="AX40" s="216"/>
    </row>
    <row r="41" spans="1:50" ht="14.25" customHeight="1" x14ac:dyDescent="0.15">
      <c r="A41" s="187"/>
      <c r="B41" s="223">
        <v>37</v>
      </c>
      <c r="C41" s="284" t="s">
        <v>612</v>
      </c>
      <c r="D41" s="227"/>
      <c r="E41" s="187"/>
      <c r="F41" s="290"/>
      <c r="G41" s="298">
        <f t="shared" si="0"/>
        <v>0</v>
      </c>
      <c r="H41" s="167"/>
      <c r="I41" s="166"/>
      <c r="J41" s="39"/>
      <c r="K41" s="37"/>
      <c r="L41" s="37"/>
      <c r="M41" s="183">
        <v>1</v>
      </c>
      <c r="N41" s="292"/>
      <c r="O41" s="187">
        <v>36</v>
      </c>
      <c r="P41" s="303">
        <f t="shared" si="18"/>
        <v>0</v>
      </c>
      <c r="Q41" s="300">
        <f t="shared" si="19"/>
        <v>0</v>
      </c>
      <c r="R41" s="301">
        <f t="shared" si="20"/>
        <v>0</v>
      </c>
      <c r="S41" s="199">
        <f t="shared" si="21"/>
        <v>0</v>
      </c>
      <c r="T41" s="302">
        <f t="shared" si="22"/>
        <v>0</v>
      </c>
      <c r="U41" s="199">
        <f t="shared" si="23"/>
        <v>0</v>
      </c>
      <c r="V41" s="277">
        <f t="shared" si="1"/>
        <v>0</v>
      </c>
      <c r="W41" s="255">
        <f t="shared" si="2"/>
        <v>0</v>
      </c>
      <c r="X41" s="255">
        <f t="shared" si="3"/>
        <v>0</v>
      </c>
      <c r="Y41" s="278">
        <f t="shared" si="24"/>
        <v>0</v>
      </c>
      <c r="Z41" s="256">
        <f t="shared" si="4"/>
        <v>0</v>
      </c>
      <c r="AA41" s="187" t="str">
        <f t="shared" si="5"/>
        <v>ok</v>
      </c>
      <c r="AB41" s="38">
        <f t="shared" si="6"/>
        <v>0</v>
      </c>
      <c r="AC41" s="38">
        <f t="shared" si="25"/>
        <v>0</v>
      </c>
      <c r="AD41" s="38">
        <f t="shared" si="7"/>
        <v>0</v>
      </c>
      <c r="AE41" s="202">
        <f t="shared" si="8"/>
        <v>0</v>
      </c>
      <c r="AF41" s="203">
        <f t="shared" si="29"/>
        <v>0</v>
      </c>
      <c r="AG41" s="203">
        <f t="shared" si="29"/>
        <v>0</v>
      </c>
      <c r="AH41" s="204">
        <v>110</v>
      </c>
      <c r="AI41" s="205">
        <f t="shared" si="28"/>
        <v>0</v>
      </c>
      <c r="AJ41" s="206">
        <f t="shared" si="10"/>
        <v>0</v>
      </c>
      <c r="AK41" s="207">
        <f t="shared" si="11"/>
        <v>0</v>
      </c>
      <c r="AL41" s="205">
        <f t="shared" si="26"/>
        <v>0</v>
      </c>
      <c r="AM41" s="202">
        <f t="shared" si="12"/>
        <v>0</v>
      </c>
      <c r="AN41" s="208">
        <f t="shared" si="13"/>
        <v>0</v>
      </c>
      <c r="AO41" s="203">
        <f t="shared" si="14"/>
        <v>0</v>
      </c>
      <c r="AP41" s="203">
        <f t="shared" si="15"/>
        <v>0</v>
      </c>
      <c r="AQ41" s="208">
        <f t="shared" si="16"/>
        <v>0</v>
      </c>
      <c r="AR41" s="208">
        <f t="shared" si="17"/>
        <v>0</v>
      </c>
      <c r="AS41" s="208">
        <f t="shared" si="27"/>
        <v>0</v>
      </c>
      <c r="AT41" s="208">
        <f t="shared" si="27"/>
        <v>0</v>
      </c>
      <c r="AU41" s="209"/>
      <c r="AV41" s="210"/>
      <c r="AX41" s="216"/>
    </row>
    <row r="42" spans="1:50" ht="14.25" customHeight="1" x14ac:dyDescent="0.15">
      <c r="A42" s="187"/>
      <c r="B42" s="223">
        <v>38</v>
      </c>
      <c r="C42" s="284" t="s">
        <v>613</v>
      </c>
      <c r="D42" s="227"/>
      <c r="E42" s="187"/>
      <c r="F42" s="290"/>
      <c r="G42" s="298">
        <f t="shared" si="0"/>
        <v>0</v>
      </c>
      <c r="H42" s="167"/>
      <c r="I42" s="166"/>
      <c r="J42" s="39"/>
      <c r="K42" s="37"/>
      <c r="L42" s="37"/>
      <c r="M42" s="183">
        <v>1</v>
      </c>
      <c r="N42" s="292"/>
      <c r="O42" s="187">
        <v>37</v>
      </c>
      <c r="P42" s="303">
        <f t="shared" si="18"/>
        <v>0</v>
      </c>
      <c r="Q42" s="300">
        <f t="shared" si="19"/>
        <v>0</v>
      </c>
      <c r="R42" s="301">
        <f t="shared" si="20"/>
        <v>0</v>
      </c>
      <c r="S42" s="199">
        <f t="shared" si="21"/>
        <v>0</v>
      </c>
      <c r="T42" s="302">
        <f t="shared" si="22"/>
        <v>0</v>
      </c>
      <c r="U42" s="199">
        <f t="shared" si="23"/>
        <v>0</v>
      </c>
      <c r="V42" s="277">
        <f t="shared" si="1"/>
        <v>0</v>
      </c>
      <c r="W42" s="255">
        <f t="shared" si="2"/>
        <v>0</v>
      </c>
      <c r="X42" s="255">
        <f t="shared" si="3"/>
        <v>0</v>
      </c>
      <c r="Y42" s="278">
        <f t="shared" si="24"/>
        <v>0</v>
      </c>
      <c r="Z42" s="256">
        <f t="shared" si="4"/>
        <v>0</v>
      </c>
      <c r="AA42" s="187" t="str">
        <f t="shared" si="5"/>
        <v>ok</v>
      </c>
      <c r="AB42" s="38">
        <f t="shared" si="6"/>
        <v>0</v>
      </c>
      <c r="AC42" s="38">
        <f t="shared" si="25"/>
        <v>0</v>
      </c>
      <c r="AD42" s="38">
        <f t="shared" si="7"/>
        <v>0</v>
      </c>
      <c r="AE42" s="202">
        <f t="shared" si="8"/>
        <v>0</v>
      </c>
      <c r="AF42" s="203">
        <f t="shared" si="29"/>
        <v>0</v>
      </c>
      <c r="AG42" s="203">
        <f t="shared" si="29"/>
        <v>0</v>
      </c>
      <c r="AH42" s="204">
        <v>110</v>
      </c>
      <c r="AI42" s="205">
        <f t="shared" si="28"/>
        <v>0</v>
      </c>
      <c r="AJ42" s="206">
        <f t="shared" si="10"/>
        <v>0</v>
      </c>
      <c r="AK42" s="207">
        <f t="shared" si="11"/>
        <v>0</v>
      </c>
      <c r="AL42" s="205">
        <f t="shared" si="26"/>
        <v>0</v>
      </c>
      <c r="AM42" s="202">
        <f t="shared" si="12"/>
        <v>0</v>
      </c>
      <c r="AN42" s="208">
        <f t="shared" si="13"/>
        <v>0</v>
      </c>
      <c r="AO42" s="203">
        <f t="shared" si="14"/>
        <v>0</v>
      </c>
      <c r="AP42" s="203">
        <f t="shared" si="15"/>
        <v>0</v>
      </c>
      <c r="AQ42" s="208">
        <f t="shared" si="16"/>
        <v>0</v>
      </c>
      <c r="AR42" s="208">
        <f t="shared" si="17"/>
        <v>0</v>
      </c>
      <c r="AS42" s="208">
        <f t="shared" si="27"/>
        <v>0</v>
      </c>
      <c r="AT42" s="208">
        <f t="shared" si="27"/>
        <v>0</v>
      </c>
      <c r="AU42" s="209"/>
      <c r="AV42" s="210"/>
    </row>
    <row r="43" spans="1:50" ht="14.25" customHeight="1" thickBot="1" x14ac:dyDescent="0.2">
      <c r="A43" s="187"/>
      <c r="B43" s="228">
        <v>39</v>
      </c>
      <c r="C43" s="285" t="s">
        <v>614</v>
      </c>
      <c r="D43" s="229"/>
      <c r="E43" s="187"/>
      <c r="F43" s="290"/>
      <c r="G43" s="298">
        <f t="shared" si="0"/>
        <v>0</v>
      </c>
      <c r="H43" s="167"/>
      <c r="I43" s="166"/>
      <c r="J43" s="39"/>
      <c r="K43" s="37"/>
      <c r="L43" s="37"/>
      <c r="M43" s="183">
        <v>1</v>
      </c>
      <c r="N43" s="292"/>
      <c r="O43" s="187">
        <v>38</v>
      </c>
      <c r="P43" s="303">
        <f t="shared" si="18"/>
        <v>0</v>
      </c>
      <c r="Q43" s="300">
        <f t="shared" si="19"/>
        <v>0</v>
      </c>
      <c r="R43" s="301">
        <f t="shared" si="20"/>
        <v>0</v>
      </c>
      <c r="S43" s="199">
        <f t="shared" si="21"/>
        <v>0</v>
      </c>
      <c r="T43" s="302">
        <f t="shared" si="22"/>
        <v>0</v>
      </c>
      <c r="U43" s="199">
        <f t="shared" si="23"/>
        <v>0</v>
      </c>
      <c r="V43" s="277">
        <f t="shared" si="1"/>
        <v>0</v>
      </c>
      <c r="W43" s="255">
        <f t="shared" si="2"/>
        <v>0</v>
      </c>
      <c r="X43" s="255">
        <f t="shared" si="3"/>
        <v>0</v>
      </c>
      <c r="Y43" s="278">
        <f t="shared" si="24"/>
        <v>0</v>
      </c>
      <c r="Z43" s="256">
        <f t="shared" si="4"/>
        <v>0</v>
      </c>
      <c r="AA43" s="187" t="str">
        <f t="shared" si="5"/>
        <v>ok</v>
      </c>
      <c r="AB43" s="38">
        <f t="shared" si="6"/>
        <v>0</v>
      </c>
      <c r="AC43" s="38">
        <f t="shared" si="25"/>
        <v>0</v>
      </c>
      <c r="AD43" s="38">
        <f t="shared" si="7"/>
        <v>0</v>
      </c>
      <c r="AE43" s="202">
        <f t="shared" si="8"/>
        <v>0</v>
      </c>
      <c r="AF43" s="203">
        <f t="shared" ref="AF43:AG45" si="30">IF(AM43&lt;11,ROUND(AM43,1),ROUND(AM43,0))</f>
        <v>0</v>
      </c>
      <c r="AG43" s="203">
        <f t="shared" si="30"/>
        <v>0</v>
      </c>
      <c r="AH43" s="204">
        <v>110</v>
      </c>
      <c r="AI43" s="205">
        <f t="shared" si="28"/>
        <v>0</v>
      </c>
      <c r="AJ43" s="206">
        <f t="shared" si="10"/>
        <v>0</v>
      </c>
      <c r="AK43" s="207">
        <f t="shared" si="11"/>
        <v>0</v>
      </c>
      <c r="AL43" s="205">
        <f t="shared" si="26"/>
        <v>0</v>
      </c>
      <c r="AM43" s="202">
        <f t="shared" si="12"/>
        <v>0</v>
      </c>
      <c r="AN43" s="208">
        <f t="shared" si="13"/>
        <v>0</v>
      </c>
      <c r="AO43" s="203">
        <f t="shared" si="14"/>
        <v>0</v>
      </c>
      <c r="AP43" s="203">
        <f t="shared" si="15"/>
        <v>0</v>
      </c>
      <c r="AQ43" s="208">
        <f t="shared" si="16"/>
        <v>0</v>
      </c>
      <c r="AR43" s="208">
        <f t="shared" si="17"/>
        <v>0</v>
      </c>
      <c r="AS43" s="208">
        <f t="shared" si="27"/>
        <v>0</v>
      </c>
      <c r="AT43" s="208">
        <f t="shared" si="27"/>
        <v>0</v>
      </c>
      <c r="AU43" s="209"/>
      <c r="AV43" s="210"/>
    </row>
    <row r="44" spans="1:50" ht="14.25" customHeight="1" x14ac:dyDescent="0.15">
      <c r="A44" s="187"/>
      <c r="B44" s="187"/>
      <c r="C44" s="187"/>
      <c r="D44" s="187"/>
      <c r="E44" s="187"/>
      <c r="F44" s="290"/>
      <c r="G44" s="298">
        <f t="shared" si="0"/>
        <v>0</v>
      </c>
      <c r="H44" s="167"/>
      <c r="I44" s="166"/>
      <c r="J44" s="39"/>
      <c r="K44" s="37"/>
      <c r="L44" s="37"/>
      <c r="M44" s="183">
        <v>1</v>
      </c>
      <c r="N44" s="292"/>
      <c r="O44" s="187">
        <v>39</v>
      </c>
      <c r="P44" s="303">
        <f t="shared" si="18"/>
        <v>0</v>
      </c>
      <c r="Q44" s="300">
        <f t="shared" si="19"/>
        <v>0</v>
      </c>
      <c r="R44" s="301">
        <f t="shared" si="20"/>
        <v>0</v>
      </c>
      <c r="S44" s="199">
        <f t="shared" si="21"/>
        <v>0</v>
      </c>
      <c r="T44" s="302">
        <f t="shared" si="22"/>
        <v>0</v>
      </c>
      <c r="U44" s="199">
        <f t="shared" si="23"/>
        <v>0</v>
      </c>
      <c r="V44" s="277">
        <f t="shared" si="1"/>
        <v>0</v>
      </c>
      <c r="W44" s="255">
        <f t="shared" si="2"/>
        <v>0</v>
      </c>
      <c r="X44" s="255">
        <f t="shared" si="3"/>
        <v>0</v>
      </c>
      <c r="Y44" s="278">
        <f t="shared" si="24"/>
        <v>0</v>
      </c>
      <c r="Z44" s="256">
        <f t="shared" si="4"/>
        <v>0</v>
      </c>
      <c r="AA44" s="187" t="str">
        <f t="shared" si="5"/>
        <v>ok</v>
      </c>
      <c r="AB44" s="38">
        <f t="shared" si="6"/>
        <v>0</v>
      </c>
      <c r="AC44" s="38">
        <f t="shared" si="25"/>
        <v>0</v>
      </c>
      <c r="AD44" s="38">
        <f t="shared" si="7"/>
        <v>0</v>
      </c>
      <c r="AE44" s="202">
        <f t="shared" si="8"/>
        <v>0</v>
      </c>
      <c r="AF44" s="203">
        <f t="shared" si="30"/>
        <v>0</v>
      </c>
      <c r="AG44" s="203">
        <f t="shared" si="30"/>
        <v>0</v>
      </c>
      <c r="AH44" s="204">
        <v>110</v>
      </c>
      <c r="AI44" s="205">
        <f t="shared" si="28"/>
        <v>0</v>
      </c>
      <c r="AJ44" s="206">
        <f t="shared" si="10"/>
        <v>0</v>
      </c>
      <c r="AK44" s="207">
        <f t="shared" si="11"/>
        <v>0</v>
      </c>
      <c r="AL44" s="205">
        <f t="shared" si="26"/>
        <v>0</v>
      </c>
      <c r="AM44" s="202">
        <f t="shared" si="12"/>
        <v>0</v>
      </c>
      <c r="AN44" s="208">
        <f t="shared" si="13"/>
        <v>0</v>
      </c>
      <c r="AO44" s="203">
        <f t="shared" si="14"/>
        <v>0</v>
      </c>
      <c r="AP44" s="203">
        <f t="shared" si="15"/>
        <v>0</v>
      </c>
      <c r="AQ44" s="208">
        <f t="shared" si="16"/>
        <v>0</v>
      </c>
      <c r="AR44" s="208">
        <f t="shared" si="17"/>
        <v>0</v>
      </c>
      <c r="AS44" s="208">
        <f t="shared" si="27"/>
        <v>0</v>
      </c>
      <c r="AT44" s="208">
        <f t="shared" si="27"/>
        <v>0</v>
      </c>
      <c r="AU44" s="209"/>
      <c r="AV44" s="210"/>
    </row>
    <row r="45" spans="1:50" ht="14.25" customHeight="1" thickBot="1" x14ac:dyDescent="0.2">
      <c r="A45" s="187"/>
      <c r="B45" s="187"/>
      <c r="C45" s="187"/>
      <c r="D45" s="187"/>
      <c r="E45" s="187"/>
      <c r="F45" s="291"/>
      <c r="G45" s="299">
        <f t="shared" si="0"/>
        <v>0</v>
      </c>
      <c r="H45" s="293"/>
      <c r="I45" s="294"/>
      <c r="J45" s="295"/>
      <c r="K45" s="296"/>
      <c r="L45" s="296"/>
      <c r="M45" s="219">
        <v>1</v>
      </c>
      <c r="N45" s="297"/>
      <c r="O45" s="187">
        <v>40</v>
      </c>
      <c r="P45" s="303">
        <f t="shared" si="18"/>
        <v>0</v>
      </c>
      <c r="Q45" s="300">
        <f t="shared" si="19"/>
        <v>0</v>
      </c>
      <c r="R45" s="301">
        <f t="shared" si="20"/>
        <v>0</v>
      </c>
      <c r="S45" s="199">
        <f t="shared" si="21"/>
        <v>0</v>
      </c>
      <c r="T45" s="302">
        <f t="shared" si="22"/>
        <v>0</v>
      </c>
      <c r="U45" s="199">
        <f t="shared" si="23"/>
        <v>0</v>
      </c>
      <c r="V45" s="277">
        <f t="shared" si="1"/>
        <v>0</v>
      </c>
      <c r="W45" s="255">
        <f t="shared" si="2"/>
        <v>0</v>
      </c>
      <c r="X45" s="255">
        <f t="shared" si="3"/>
        <v>0</v>
      </c>
      <c r="Y45" s="278">
        <f t="shared" si="24"/>
        <v>0</v>
      </c>
      <c r="Z45" s="256">
        <f t="shared" si="4"/>
        <v>0</v>
      </c>
      <c r="AA45" s="187" t="str">
        <f t="shared" si="5"/>
        <v>ok</v>
      </c>
      <c r="AB45" s="38">
        <f t="shared" si="6"/>
        <v>0</v>
      </c>
      <c r="AC45" s="38">
        <f t="shared" si="25"/>
        <v>0</v>
      </c>
      <c r="AD45" s="38">
        <f t="shared" si="7"/>
        <v>0</v>
      </c>
      <c r="AE45" s="202">
        <f t="shared" si="8"/>
        <v>0</v>
      </c>
      <c r="AF45" s="203">
        <f t="shared" si="30"/>
        <v>0</v>
      </c>
      <c r="AG45" s="203">
        <f t="shared" si="30"/>
        <v>0</v>
      </c>
      <c r="AH45" s="204">
        <v>110</v>
      </c>
      <c r="AI45" s="205">
        <f t="shared" si="28"/>
        <v>0</v>
      </c>
      <c r="AJ45" s="206">
        <f t="shared" si="10"/>
        <v>0</v>
      </c>
      <c r="AK45" s="207">
        <f t="shared" si="11"/>
        <v>0</v>
      </c>
      <c r="AL45" s="205">
        <f t="shared" si="26"/>
        <v>0</v>
      </c>
      <c r="AM45" s="202">
        <f t="shared" si="12"/>
        <v>0</v>
      </c>
      <c r="AN45" s="208">
        <f t="shared" si="13"/>
        <v>0</v>
      </c>
      <c r="AO45" s="203">
        <f t="shared" si="14"/>
        <v>0</v>
      </c>
      <c r="AP45" s="203">
        <f t="shared" si="15"/>
        <v>0</v>
      </c>
      <c r="AQ45" s="208">
        <f t="shared" si="16"/>
        <v>0</v>
      </c>
      <c r="AR45" s="208">
        <f t="shared" si="17"/>
        <v>0</v>
      </c>
      <c r="AS45" s="208">
        <f t="shared" si="27"/>
        <v>0</v>
      </c>
      <c r="AT45" s="208">
        <f t="shared" si="27"/>
        <v>0</v>
      </c>
      <c r="AU45" s="209"/>
      <c r="AV45" s="210"/>
    </row>
    <row r="46" spans="1:50" ht="14.25" customHeight="1" thickBot="1" x14ac:dyDescent="0.2">
      <c r="A46" s="187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8" t="s">
        <v>641</v>
      </c>
      <c r="N46" s="187"/>
      <c r="O46" s="187"/>
      <c r="P46" s="259" t="s">
        <v>34</v>
      </c>
      <c r="Q46" s="260"/>
      <c r="R46" s="261"/>
      <c r="S46" s="257"/>
      <c r="T46" s="257"/>
      <c r="U46" s="257"/>
      <c r="V46" s="257"/>
      <c r="W46" s="257"/>
      <c r="X46" s="257"/>
      <c r="Y46" s="257"/>
      <c r="Z46" s="258">
        <f>SUM(Z6:Z45)</f>
        <v>9.44</v>
      </c>
      <c r="AA46" s="209"/>
      <c r="AB46" s="209"/>
      <c r="AC46" s="209"/>
      <c r="AD46" s="209"/>
      <c r="AE46" s="209"/>
      <c r="AF46" s="209"/>
      <c r="AG46" s="209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209"/>
      <c r="AV46" s="210"/>
    </row>
    <row r="47" spans="1:50" ht="14.25" customHeight="1" x14ac:dyDescent="0.15">
      <c r="A47" s="187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379" t="s">
        <v>23</v>
      </c>
      <c r="Q47" s="380"/>
      <c r="R47" s="262" t="s">
        <v>33</v>
      </c>
      <c r="S47" s="263"/>
      <c r="T47" s="263"/>
      <c r="U47" s="263"/>
      <c r="V47" s="264">
        <f>Z46</f>
        <v>9.44</v>
      </c>
      <c r="W47" s="265" t="s">
        <v>445</v>
      </c>
      <c r="X47" s="266">
        <v>0.1</v>
      </c>
      <c r="Y47" s="265"/>
      <c r="Z47" s="267">
        <f>ROUND(V47*0.1,2)</f>
        <v>0.94</v>
      </c>
      <c r="AA47" s="213"/>
      <c r="AB47" s="213"/>
      <c r="AC47" s="213"/>
      <c r="AD47" s="213"/>
      <c r="AE47" s="209"/>
      <c r="AF47" s="209"/>
      <c r="AG47" s="209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209"/>
      <c r="AV47" s="210"/>
    </row>
    <row r="48" spans="1:50" ht="14.25" customHeight="1" x14ac:dyDescent="0.15">
      <c r="A48" s="187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381" t="s">
        <v>24</v>
      </c>
      <c r="Q48" s="382"/>
      <c r="R48" s="268" t="s">
        <v>446</v>
      </c>
      <c r="S48" s="383" t="s">
        <v>639</v>
      </c>
      <c r="T48" s="383"/>
      <c r="U48" s="383"/>
      <c r="V48" s="383"/>
      <c r="W48" s="383"/>
      <c r="X48" s="383"/>
      <c r="Y48" s="384"/>
      <c r="Z48" s="40">
        <v>4.45</v>
      </c>
      <c r="AA48" s="187"/>
      <c r="AB48" s="187"/>
      <c r="AC48" s="187"/>
      <c r="AD48" s="187"/>
      <c r="AE48" s="213"/>
      <c r="AF48" s="213"/>
      <c r="AG48" s="213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211"/>
      <c r="AV48" s="212"/>
    </row>
    <row r="49" spans="1:47" ht="14.25" customHeight="1" x14ac:dyDescent="0.15">
      <c r="A49" s="187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381" t="s">
        <v>25</v>
      </c>
      <c r="Q49" s="382"/>
      <c r="R49" s="385" t="s">
        <v>571</v>
      </c>
      <c r="S49" s="386"/>
      <c r="T49" s="386"/>
      <c r="U49" s="386"/>
      <c r="V49" s="386"/>
      <c r="W49" s="386"/>
      <c r="X49" s="386"/>
      <c r="Y49" s="387"/>
      <c r="Z49" s="40">
        <v>5</v>
      </c>
      <c r="AA49" s="187"/>
      <c r="AB49" s="187"/>
      <c r="AC49" s="187"/>
      <c r="AD49" s="187"/>
      <c r="AE49" s="187"/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</row>
    <row r="50" spans="1:47" ht="14.25" customHeight="1" x14ac:dyDescent="0.15">
      <c r="A50" s="187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381" t="s">
        <v>26</v>
      </c>
      <c r="Q50" s="382"/>
      <c r="R50" s="269"/>
      <c r="S50" s="383"/>
      <c r="T50" s="383"/>
      <c r="U50" s="383"/>
      <c r="V50" s="383"/>
      <c r="W50" s="383"/>
      <c r="X50" s="383"/>
      <c r="Y50" s="384"/>
      <c r="Z50" s="40">
        <v>0</v>
      </c>
      <c r="AA50" s="187"/>
      <c r="AB50" s="187"/>
      <c r="AC50" s="187"/>
      <c r="AD50" s="187"/>
      <c r="AE50" s="187"/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</row>
    <row r="51" spans="1:47" ht="14.25" customHeight="1" thickBot="1" x14ac:dyDescent="0.2">
      <c r="A51" s="187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388" t="s">
        <v>34</v>
      </c>
      <c r="Q51" s="389"/>
      <c r="R51" s="260"/>
      <c r="S51" s="261"/>
      <c r="T51" s="261"/>
      <c r="U51" s="261"/>
      <c r="V51" s="261"/>
      <c r="W51" s="261"/>
      <c r="X51" s="261"/>
      <c r="Y51" s="261"/>
      <c r="Z51" s="270">
        <f>SUM(Z47:Z50)</f>
        <v>10.39</v>
      </c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</row>
    <row r="52" spans="1:47" ht="14.25" customHeight="1" x14ac:dyDescent="0.15">
      <c r="A52" s="187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390"/>
      <c r="Q52" s="391"/>
      <c r="R52" s="318"/>
      <c r="S52" s="392"/>
      <c r="T52" s="393"/>
      <c r="U52" s="393"/>
      <c r="V52" s="393"/>
      <c r="W52" s="393"/>
      <c r="X52" s="393"/>
      <c r="Y52" s="394"/>
      <c r="Z52" s="164"/>
      <c r="AA52" s="187"/>
      <c r="AB52" s="187"/>
      <c r="AC52" s="187"/>
      <c r="AD52" s="187"/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</row>
    <row r="53" spans="1:47" ht="14.25" customHeight="1" x14ac:dyDescent="0.15">
      <c r="A53" s="187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381" t="s">
        <v>35</v>
      </c>
      <c r="Q53" s="382"/>
      <c r="R53" s="271"/>
      <c r="S53" s="272"/>
      <c r="T53" s="272"/>
      <c r="U53" s="272"/>
      <c r="V53" s="272"/>
      <c r="W53" s="272"/>
      <c r="X53" s="272"/>
      <c r="Y53" s="272"/>
      <c r="Z53" s="275">
        <f>Z46+Z51+Z52</f>
        <v>19.829999999999998</v>
      </c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</row>
    <row r="54" spans="1:47" ht="14.25" customHeight="1" thickBot="1" x14ac:dyDescent="0.2">
      <c r="A54" s="187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388" t="s">
        <v>27</v>
      </c>
      <c r="Q54" s="389"/>
      <c r="R54" s="273" t="s">
        <v>28</v>
      </c>
      <c r="S54" s="274"/>
      <c r="T54" s="274"/>
      <c r="U54" s="274"/>
      <c r="V54" s="159">
        <v>30</v>
      </c>
      <c r="W54" s="261" t="s">
        <v>447</v>
      </c>
      <c r="X54" s="276">
        <f>IF(V54=0,0,Z53)</f>
        <v>19.829999999999998</v>
      </c>
      <c r="Y54" s="261" t="s">
        <v>448</v>
      </c>
      <c r="Z54" s="270">
        <f>V54-X54</f>
        <v>10.170000000000002</v>
      </c>
      <c r="AA54" s="187" t="str">
        <f>IF(Z54&gt;0,"ok","out")</f>
        <v>ok</v>
      </c>
      <c r="AB54" s="187"/>
      <c r="AC54" s="187"/>
      <c r="AD54" s="187"/>
      <c r="AE54" s="187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</row>
    <row r="55" spans="1:47" ht="14.25" customHeight="1" x14ac:dyDescent="0.15">
      <c r="A55" s="187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367" t="s">
        <v>569</v>
      </c>
      <c r="Q55" s="368"/>
      <c r="R55" s="373"/>
      <c r="S55" s="373"/>
      <c r="T55" s="373"/>
      <c r="U55" s="373"/>
      <c r="V55" s="373"/>
      <c r="W55" s="373"/>
      <c r="X55" s="373"/>
      <c r="Y55" s="373"/>
      <c r="Z55" s="374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</row>
    <row r="56" spans="1:47" ht="14.25" customHeight="1" x14ac:dyDescent="0.15">
      <c r="A56" s="187"/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369"/>
      <c r="Q56" s="370"/>
      <c r="R56" s="375"/>
      <c r="S56" s="375"/>
      <c r="T56" s="375"/>
      <c r="U56" s="375"/>
      <c r="V56" s="375"/>
      <c r="W56" s="375"/>
      <c r="X56" s="375"/>
      <c r="Y56" s="375"/>
      <c r="Z56" s="376"/>
      <c r="AA56" s="187"/>
      <c r="AB56" s="187"/>
      <c r="AC56" s="187"/>
      <c r="AD56" s="187"/>
      <c r="AE56" s="187"/>
      <c r="AF56" s="187"/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</row>
    <row r="57" spans="1:47" ht="14.25" customHeight="1" thickBot="1" x14ac:dyDescent="0.2">
      <c r="A57" s="187"/>
      <c r="B57" s="187"/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371"/>
      <c r="Q57" s="372"/>
      <c r="R57" s="377"/>
      <c r="S57" s="377"/>
      <c r="T57" s="377"/>
      <c r="U57" s="377"/>
      <c r="V57" s="377"/>
      <c r="W57" s="377"/>
      <c r="X57" s="377"/>
      <c r="Y57" s="377"/>
      <c r="Z57" s="378"/>
      <c r="AA57" s="187"/>
      <c r="AB57" s="187"/>
      <c r="AC57" s="187"/>
      <c r="AD57" s="187"/>
      <c r="AE57" s="187"/>
      <c r="AF57" s="187"/>
      <c r="AG57" s="187"/>
      <c r="AH57" s="187"/>
      <c r="AI57" s="187"/>
      <c r="AJ57" s="187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</row>
    <row r="58" spans="1:47" x14ac:dyDescent="0.15">
      <c r="A58" s="187"/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217"/>
      <c r="Q58" s="217"/>
      <c r="R58" s="217"/>
      <c r="S58" s="217"/>
      <c r="T58" s="217"/>
      <c r="U58" s="217"/>
      <c r="V58" s="217" t="s">
        <v>449</v>
      </c>
      <c r="W58" s="217"/>
      <c r="X58" s="217"/>
      <c r="Y58" s="217"/>
      <c r="Z58" s="218"/>
      <c r="AA58" s="187"/>
      <c r="AB58" s="187"/>
      <c r="AC58" s="187"/>
      <c r="AD58" s="187"/>
      <c r="AE58" s="187"/>
      <c r="AF58" s="187"/>
      <c r="AG58" s="187"/>
      <c r="AH58" s="187"/>
      <c r="AI58" s="187"/>
      <c r="AJ58" s="187"/>
      <c r="AK58" s="187"/>
      <c r="AL58" s="187"/>
      <c r="AM58" s="187"/>
      <c r="AN58" s="187"/>
      <c r="AO58" s="187"/>
      <c r="AP58" s="187"/>
      <c r="AQ58" s="187"/>
      <c r="AR58" s="187"/>
      <c r="AS58" s="187"/>
      <c r="AT58" s="187"/>
      <c r="AU58" s="187"/>
    </row>
    <row r="59" spans="1:47" x14ac:dyDescent="0.15">
      <c r="A59" s="187"/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 t="s">
        <v>570</v>
      </c>
      <c r="W59" s="187"/>
      <c r="X59" s="187"/>
      <c r="Y59" s="187"/>
      <c r="Z59" s="187"/>
      <c r="AA59" s="187"/>
      <c r="AB59" s="187"/>
      <c r="AC59" s="187"/>
      <c r="AD59" s="187"/>
      <c r="AE59" s="187"/>
      <c r="AF59" s="187"/>
      <c r="AG59" s="187"/>
      <c r="AH59" s="187"/>
      <c r="AI59" s="187"/>
      <c r="AJ59" s="187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</row>
  </sheetData>
  <sheetProtection password="CC1F" sheet="1" objects="1" scenarios="1" selectLockedCells="1"/>
  <mergeCells count="31">
    <mergeCell ref="G4:G5"/>
    <mergeCell ref="H4:I4"/>
    <mergeCell ref="H5:I5"/>
    <mergeCell ref="B3:D3"/>
    <mergeCell ref="P2:W3"/>
    <mergeCell ref="P53:Q53"/>
    <mergeCell ref="P54:Q54"/>
    <mergeCell ref="P55:Q57"/>
    <mergeCell ref="R55:Z55"/>
    <mergeCell ref="R56:Z56"/>
    <mergeCell ref="R57:Z57"/>
    <mergeCell ref="P52:Q52"/>
    <mergeCell ref="S52:Y52"/>
    <mergeCell ref="P4:P5"/>
    <mergeCell ref="Q4:R4"/>
    <mergeCell ref="AA4:AA5"/>
    <mergeCell ref="Q5:R5"/>
    <mergeCell ref="P47:Q47"/>
    <mergeCell ref="P48:Q48"/>
    <mergeCell ref="S48:Y48"/>
    <mergeCell ref="P49:Q49"/>
    <mergeCell ref="R49:Y49"/>
    <mergeCell ref="P50:Q50"/>
    <mergeCell ref="S50:Y50"/>
    <mergeCell ref="P51:Q51"/>
    <mergeCell ref="X3:Z3"/>
    <mergeCell ref="AE2:AG2"/>
    <mergeCell ref="AS2:AT2"/>
    <mergeCell ref="AO3:AP3"/>
    <mergeCell ref="AQ3:AR3"/>
    <mergeCell ref="AS3:AT3"/>
  </mergeCells>
  <phoneticPr fontId="3"/>
  <conditionalFormatting sqref="K6:L45">
    <cfRule type="expression" dxfId="5" priority="3">
      <formula>$J6&gt;1</formula>
    </cfRule>
  </conditionalFormatting>
  <conditionalFormatting sqref="H6:N45">
    <cfRule type="expression" dxfId="4" priority="2">
      <formula>$F6=0</formula>
    </cfRule>
  </conditionalFormatting>
  <conditionalFormatting sqref="J6:J45">
    <cfRule type="expression" dxfId="3" priority="1">
      <formula>$J6&lt;1</formula>
    </cfRule>
  </conditionalFormatting>
  <dataValidations count="8">
    <dataValidation type="custom" allowBlank="1" showInputMessage="1" showErrorMessage="1" errorTitle="戸数が入力されています。" error="戸数が空欄のみ入力ができます。" sqref="K6:K45">
      <formula1>J6=0</formula1>
    </dataValidation>
    <dataValidation type="list" allowBlank="1" showInputMessage="1" showErrorMessage="1" sqref="AH6:AH45">
      <formula1>流速計数</formula1>
    </dataValidation>
    <dataValidation type="list" allowBlank="1" showInputMessage="1" showErrorMessage="1" sqref="Z49">
      <formula1>所要水頭</formula1>
    </dataValidation>
    <dataValidation type="list" allowBlank="1" showInputMessage="1" showErrorMessage="1" sqref="V54">
      <formula1>"20,30"</formula1>
    </dataValidation>
    <dataValidation type="whole" allowBlank="1" showErrorMessage="1" errorTitle="入力できません。" error="1戸の場合は栓数に入力します。" sqref="J6:J45">
      <formula1>2</formula1>
      <formula2>599</formula2>
    </dataValidation>
    <dataValidation type="list" allowBlank="1" showInputMessage="1" showErrorMessage="1" sqref="H6:I45">
      <formula1>口径</formula1>
    </dataValidation>
    <dataValidation type="whole" operator="greaterThanOrEqual" allowBlank="1" showInputMessage="1" showErrorMessage="1" sqref="M6:M45">
      <formula1>1</formula1>
    </dataValidation>
    <dataValidation type="list" allowBlank="1" showInputMessage="1" showErrorMessage="1" errorTitle="戸数が入力されています。" error="戸数が空欄のみ入力ができます。" sqref="L6:L45">
      <formula1>使用水量</formula1>
    </dataValidation>
  </dataValidations>
  <pageMargins left="0.78740157480314965" right="0" top="0.59055118110236227" bottom="0.59055118110236227" header="0.59055118110236227" footer="0.51181102362204722"/>
  <pageSetup paperSize="9" scale="105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X59"/>
  <sheetViews>
    <sheetView showGridLines="0" showRowColHeaders="0" showZeros="0" zoomScale="85" zoomScaleNormal="85" workbookViewId="0">
      <pane ySplit="5" topLeftCell="A15" activePane="bottomLeft" state="frozen"/>
      <selection pane="bottomLeft" activeCell="C14" sqref="C14"/>
    </sheetView>
  </sheetViews>
  <sheetFormatPr defaultColWidth="8.875" defaultRowHeight="13.5" x14ac:dyDescent="0.15"/>
  <cols>
    <col min="1" max="1" width="2.125" style="189" customWidth="1"/>
    <col min="2" max="2" width="3.75" style="189" bestFit="1" customWidth="1"/>
    <col min="3" max="3" width="13.625" style="189" bestFit="1" customWidth="1"/>
    <col min="4" max="4" width="8.875" style="189"/>
    <col min="5" max="5" width="2.25" style="189" customWidth="1"/>
    <col min="6" max="6" width="4.125" style="189" customWidth="1"/>
    <col min="7" max="7" width="14.25" style="189" customWidth="1"/>
    <col min="8" max="8" width="6" style="189" customWidth="1"/>
    <col min="9" max="9" width="4.5" style="189" customWidth="1"/>
    <col min="10" max="11" width="5.625" style="189" customWidth="1"/>
    <col min="12" max="12" width="8.25" style="189" customWidth="1"/>
    <col min="13" max="13" width="4.125" style="189" customWidth="1"/>
    <col min="14" max="14" width="7.25" style="189" customWidth="1"/>
    <col min="15" max="15" width="3.625" style="189" customWidth="1"/>
    <col min="16" max="16" width="14.25" style="189" customWidth="1"/>
    <col min="17" max="17" width="6" style="189" customWidth="1"/>
    <col min="18" max="18" width="4.5" style="189" customWidth="1"/>
    <col min="19" max="20" width="5.625" style="189" customWidth="1"/>
    <col min="21" max="22" width="9.375" style="189" customWidth="1"/>
    <col min="23" max="24" width="7.25" style="189" customWidth="1"/>
    <col min="25" max="25" width="9.375" style="189" bestFit="1" customWidth="1"/>
    <col min="26" max="26" width="9.75" style="189" bestFit="1" customWidth="1"/>
    <col min="27" max="27" width="7.25" style="189" customWidth="1"/>
    <col min="28" max="30" width="7.25" style="189" hidden="1" customWidth="1"/>
    <col min="31" max="31" width="7.25" style="189" customWidth="1"/>
    <col min="32" max="33" width="7.125" style="189" customWidth="1"/>
    <col min="34" max="34" width="8.625" style="189" customWidth="1"/>
    <col min="35" max="46" width="8.625" style="189" hidden="1" customWidth="1"/>
    <col min="47" max="47" width="8.625" style="189" customWidth="1"/>
    <col min="48" max="60" width="6.625" style="189" customWidth="1"/>
    <col min="61" max="16384" width="8.875" style="189"/>
  </cols>
  <sheetData>
    <row r="1" spans="1:47" x14ac:dyDescent="0.15">
      <c r="A1" s="187"/>
      <c r="B1" s="286" t="str">
        <f>水理計算書!B1</f>
        <v>手締め太郎 V2.03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8" t="s">
        <v>437</v>
      </c>
      <c r="AA1" s="187"/>
      <c r="AB1" s="187" t="s">
        <v>580</v>
      </c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</row>
    <row r="2" spans="1:47" ht="14.25" customHeight="1" thickBot="1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343" t="s">
        <v>624</v>
      </c>
      <c r="Q2" s="343"/>
      <c r="R2" s="343"/>
      <c r="S2" s="343"/>
      <c r="T2" s="343"/>
      <c r="U2" s="343"/>
      <c r="V2" s="343"/>
      <c r="W2" s="343"/>
      <c r="X2" s="329"/>
      <c r="Y2" s="329"/>
      <c r="Z2" s="329"/>
      <c r="AA2" s="187"/>
      <c r="AB2" s="187"/>
      <c r="AC2" s="187"/>
      <c r="AD2" s="187"/>
      <c r="AE2" s="345" t="s">
        <v>436</v>
      </c>
      <c r="AF2" s="346"/>
      <c r="AG2" s="347"/>
      <c r="AH2" s="187"/>
      <c r="AI2" s="187"/>
      <c r="AJ2" s="187"/>
      <c r="AK2" s="187"/>
      <c r="AL2" s="187"/>
      <c r="AM2" s="187"/>
      <c r="AN2" s="190"/>
      <c r="AO2" s="190"/>
      <c r="AP2" s="190"/>
      <c r="AQ2" s="187"/>
      <c r="AR2" s="187"/>
      <c r="AS2" s="348" t="s">
        <v>436</v>
      </c>
      <c r="AT2" s="349"/>
      <c r="AU2" s="187"/>
    </row>
    <row r="3" spans="1:47" ht="14.25" customHeight="1" thickBot="1" x14ac:dyDescent="0.2">
      <c r="A3" s="187"/>
      <c r="B3" s="350" t="s">
        <v>645</v>
      </c>
      <c r="C3" s="351"/>
      <c r="D3" s="352"/>
      <c r="E3" s="187"/>
      <c r="F3" s="187"/>
      <c r="G3" s="187"/>
      <c r="H3" s="187"/>
      <c r="I3" s="187"/>
      <c r="J3" s="187"/>
      <c r="K3" s="187"/>
      <c r="L3" s="187"/>
      <c r="M3" s="187"/>
      <c r="N3" s="253" t="s">
        <v>572</v>
      </c>
      <c r="O3" s="187"/>
      <c r="P3" s="344"/>
      <c r="Q3" s="344"/>
      <c r="R3" s="344"/>
      <c r="S3" s="344"/>
      <c r="T3" s="344"/>
      <c r="U3" s="344"/>
      <c r="V3" s="344"/>
      <c r="W3" s="344"/>
      <c r="X3" s="353" t="str">
        <f>B3</f>
        <v>共同住宅(受水槽)例-7</v>
      </c>
      <c r="Y3" s="353"/>
      <c r="Z3" s="353"/>
      <c r="AA3" s="187"/>
      <c r="AB3" s="192"/>
      <c r="AC3" s="192"/>
      <c r="AD3" s="192"/>
      <c r="AE3" s="193" t="s">
        <v>99</v>
      </c>
      <c r="AF3" s="330" t="s">
        <v>44</v>
      </c>
      <c r="AG3" s="195" t="s">
        <v>44</v>
      </c>
      <c r="AH3" s="193"/>
      <c r="AI3" s="193"/>
      <c r="AJ3" s="193"/>
      <c r="AK3" s="196"/>
      <c r="AL3" s="193" t="s">
        <v>99</v>
      </c>
      <c r="AM3" s="330" t="s">
        <v>44</v>
      </c>
      <c r="AN3" s="195" t="s">
        <v>44</v>
      </c>
      <c r="AO3" s="354" t="s">
        <v>579</v>
      </c>
      <c r="AP3" s="355"/>
      <c r="AQ3" s="354" t="s">
        <v>434</v>
      </c>
      <c r="AR3" s="355"/>
      <c r="AS3" s="354" t="s">
        <v>434</v>
      </c>
      <c r="AT3" s="355"/>
      <c r="AU3" s="187"/>
    </row>
    <row r="4" spans="1:47" ht="14.25" customHeight="1" thickBot="1" x14ac:dyDescent="0.2">
      <c r="A4" s="187"/>
      <c r="B4" s="187"/>
      <c r="C4" s="187"/>
      <c r="D4" s="187"/>
      <c r="E4" s="187"/>
      <c r="F4" s="287" t="s">
        <v>617</v>
      </c>
      <c r="G4" s="356" t="s">
        <v>37</v>
      </c>
      <c r="H4" s="358" t="s">
        <v>0</v>
      </c>
      <c r="I4" s="359"/>
      <c r="J4" s="248" t="s">
        <v>16</v>
      </c>
      <c r="K4" s="248" t="s">
        <v>2</v>
      </c>
      <c r="L4" s="248" t="s">
        <v>18</v>
      </c>
      <c r="M4" s="248" t="s">
        <v>38</v>
      </c>
      <c r="N4" s="249" t="s">
        <v>1</v>
      </c>
      <c r="O4" s="187"/>
      <c r="P4" s="360" t="s">
        <v>37</v>
      </c>
      <c r="Q4" s="358" t="s">
        <v>0</v>
      </c>
      <c r="R4" s="359"/>
      <c r="S4" s="248" t="s">
        <v>16</v>
      </c>
      <c r="T4" s="248" t="s">
        <v>2</v>
      </c>
      <c r="U4" s="248" t="s">
        <v>17</v>
      </c>
      <c r="V4" s="248" t="s">
        <v>18</v>
      </c>
      <c r="W4" s="248" t="s">
        <v>1</v>
      </c>
      <c r="X4" s="248" t="s">
        <v>38</v>
      </c>
      <c r="Y4" s="248" t="s">
        <v>19</v>
      </c>
      <c r="Z4" s="254" t="s">
        <v>3</v>
      </c>
      <c r="AA4" s="362" t="s">
        <v>49</v>
      </c>
      <c r="AB4" s="191" t="s">
        <v>38</v>
      </c>
      <c r="AC4" s="191" t="s">
        <v>38</v>
      </c>
      <c r="AD4" s="191" t="s">
        <v>38</v>
      </c>
      <c r="AE4" s="197" t="s">
        <v>100</v>
      </c>
      <c r="AF4" s="193" t="s">
        <v>131</v>
      </c>
      <c r="AG4" s="193" t="s">
        <v>132</v>
      </c>
      <c r="AH4" s="197" t="s">
        <v>43</v>
      </c>
      <c r="AI4" s="197" t="s">
        <v>435</v>
      </c>
      <c r="AJ4" s="197" t="s">
        <v>435</v>
      </c>
      <c r="AK4" s="198" t="s">
        <v>41</v>
      </c>
      <c r="AL4" s="197" t="s">
        <v>100</v>
      </c>
      <c r="AM4" s="193" t="s">
        <v>131</v>
      </c>
      <c r="AN4" s="193" t="s">
        <v>132</v>
      </c>
      <c r="AO4" s="193" t="s">
        <v>576</v>
      </c>
      <c r="AP4" s="193" t="s">
        <v>576</v>
      </c>
      <c r="AQ4" s="193" t="s">
        <v>432</v>
      </c>
      <c r="AR4" s="193" t="s">
        <v>433</v>
      </c>
      <c r="AS4" s="193" t="s">
        <v>432</v>
      </c>
      <c r="AT4" s="193" t="s">
        <v>433</v>
      </c>
      <c r="AU4" s="187"/>
    </row>
    <row r="5" spans="1:47" ht="14.25" customHeight="1" thickBot="1" x14ac:dyDescent="0.2">
      <c r="A5" s="187"/>
      <c r="B5" s="220" t="s">
        <v>615</v>
      </c>
      <c r="C5" s="221" t="s">
        <v>39</v>
      </c>
      <c r="D5" s="222" t="s">
        <v>81</v>
      </c>
      <c r="E5" s="187"/>
      <c r="F5" s="288" t="s">
        <v>615</v>
      </c>
      <c r="G5" s="357"/>
      <c r="H5" s="363" t="s">
        <v>22</v>
      </c>
      <c r="I5" s="364"/>
      <c r="J5" s="251" t="s">
        <v>20</v>
      </c>
      <c r="K5" s="251" t="s">
        <v>4</v>
      </c>
      <c r="L5" s="251" t="s">
        <v>622</v>
      </c>
      <c r="M5" s="250" t="s">
        <v>4</v>
      </c>
      <c r="N5" s="252" t="s">
        <v>620</v>
      </c>
      <c r="O5" s="187"/>
      <c r="P5" s="361"/>
      <c r="Q5" s="365" t="s">
        <v>22</v>
      </c>
      <c r="R5" s="366"/>
      <c r="S5" s="312" t="s">
        <v>20</v>
      </c>
      <c r="T5" s="312" t="s">
        <v>4</v>
      </c>
      <c r="U5" s="312" t="s">
        <v>4</v>
      </c>
      <c r="V5" s="312" t="s">
        <v>621</v>
      </c>
      <c r="W5" s="312" t="s">
        <v>620</v>
      </c>
      <c r="X5" s="312" t="s">
        <v>439</v>
      </c>
      <c r="Y5" s="312" t="s">
        <v>36</v>
      </c>
      <c r="Z5" s="313" t="s">
        <v>439</v>
      </c>
      <c r="AA5" s="362"/>
      <c r="AB5" s="165" t="s">
        <v>439</v>
      </c>
      <c r="AC5" s="165" t="s">
        <v>439</v>
      </c>
      <c r="AD5" s="165" t="s">
        <v>439</v>
      </c>
      <c r="AE5" s="200" t="s">
        <v>440</v>
      </c>
      <c r="AF5" s="200" t="s">
        <v>45</v>
      </c>
      <c r="AG5" s="200" t="s">
        <v>45</v>
      </c>
      <c r="AH5" s="200" t="s">
        <v>438</v>
      </c>
      <c r="AI5" s="200" t="s">
        <v>42</v>
      </c>
      <c r="AJ5" s="200" t="s">
        <v>442</v>
      </c>
      <c r="AK5" s="201" t="s">
        <v>443</v>
      </c>
      <c r="AL5" s="200" t="s">
        <v>440</v>
      </c>
      <c r="AM5" s="197" t="s">
        <v>45</v>
      </c>
      <c r="AN5" s="197" t="s">
        <v>45</v>
      </c>
      <c r="AO5" s="197" t="s">
        <v>577</v>
      </c>
      <c r="AP5" s="197" t="s">
        <v>578</v>
      </c>
      <c r="AQ5" s="200" t="s">
        <v>444</v>
      </c>
      <c r="AR5" s="200" t="s">
        <v>444</v>
      </c>
      <c r="AS5" s="200" t="s">
        <v>444</v>
      </c>
      <c r="AT5" s="200" t="s">
        <v>444</v>
      </c>
      <c r="AU5" s="187"/>
    </row>
    <row r="6" spans="1:47" ht="14.25" customHeight="1" x14ac:dyDescent="0.15">
      <c r="A6" s="187"/>
      <c r="B6" s="223">
        <v>2</v>
      </c>
      <c r="C6" s="281" t="s">
        <v>21</v>
      </c>
      <c r="D6" s="224"/>
      <c r="E6" s="187"/>
      <c r="F6" s="289">
        <v>2</v>
      </c>
      <c r="G6" s="298" t="str">
        <f t="shared" ref="G6:G45" si="0">IF(F6=0,0,VLOOKUP(F6,器具等コード,2,FALSE))</f>
        <v>分岐</v>
      </c>
      <c r="H6" s="167"/>
      <c r="I6" s="166">
        <v>40</v>
      </c>
      <c r="J6" s="39"/>
      <c r="K6" s="37">
        <v>1</v>
      </c>
      <c r="L6" s="37"/>
      <c r="M6" s="183">
        <v>1</v>
      </c>
      <c r="N6" s="292">
        <v>1.8</v>
      </c>
      <c r="O6" s="187">
        <v>1</v>
      </c>
      <c r="P6" s="304" t="str">
        <f>G6</f>
        <v>分岐</v>
      </c>
      <c r="Q6" s="305">
        <f>H6</f>
        <v>0</v>
      </c>
      <c r="R6" s="306">
        <f>I6</f>
        <v>40</v>
      </c>
      <c r="S6" s="307">
        <f>J6</f>
        <v>0</v>
      </c>
      <c r="T6" s="308">
        <f>K6</f>
        <v>1</v>
      </c>
      <c r="U6" s="307">
        <f>IF(J6=0,IF(K6=0,0,VLOOKUP(K6,同時開栓数,3)),"")</f>
        <v>1</v>
      </c>
      <c r="V6" s="309">
        <f t="shared" ref="V6:V45" si="1">ROUND(L6/60,2)</f>
        <v>0</v>
      </c>
      <c r="W6" s="310">
        <f t="shared" ref="W6:W45" si="2">IF(N6=0,IF(J6=0,IF(U6=0,0,L6*U6/60),IF(J6&gt;10,AT6,AS6)),N6)</f>
        <v>1.8</v>
      </c>
      <c r="X6" s="310" t="str">
        <f t="shared" ref="X6:X45" si="3">IF(M6=1,AC6,AC6&amp;"*"&amp;M6)</f>
        <v>1.00</v>
      </c>
      <c r="Y6" s="311">
        <f>IF(AP6&gt;50,AG6,AF6)</f>
        <v>61</v>
      </c>
      <c r="Z6" s="275">
        <f t="shared" ref="Z6:Z45" si="4">ROUND(AD6*Y6/1000,2)</f>
        <v>0.06</v>
      </c>
      <c r="AA6" s="187" t="str">
        <f t="shared" ref="AA6:AA45" si="5">IF(AE6&lt;2.1,"ok","out")</f>
        <v>ok</v>
      </c>
      <c r="AB6" s="38">
        <f t="shared" ref="AB6:AB45" si="6">IF(F6=0,0,VLOOKUP(AO6,管延長2,F6))</f>
        <v>1</v>
      </c>
      <c r="AC6" s="38" t="str">
        <f>IF(AB6=0,0,TEXT(AB6,"0.00"))</f>
        <v>1.00</v>
      </c>
      <c r="AD6" s="38">
        <f t="shared" ref="AD6:AD45" si="7">AB6*M6</f>
        <v>1</v>
      </c>
      <c r="AE6" s="202">
        <f t="shared" ref="AE6:AE45" si="8">ROUND(AL6,1)</f>
        <v>1.4</v>
      </c>
      <c r="AF6" s="203">
        <f t="shared" ref="AF6:AG21" si="9">IF(AM6&lt;11,ROUND(AM6,1),ROUND(AM6,0))</f>
        <v>61</v>
      </c>
      <c r="AG6" s="203">
        <f t="shared" si="9"/>
        <v>96</v>
      </c>
      <c r="AH6" s="204">
        <v>110</v>
      </c>
      <c r="AI6" s="205">
        <f>W6/1000</f>
        <v>1.8E-3</v>
      </c>
      <c r="AJ6" s="206">
        <f t="shared" ref="AJ6:AJ45" si="10">W6*60</f>
        <v>108</v>
      </c>
      <c r="AK6" s="207">
        <f t="shared" ref="AK6:AK45" si="11">PI()*(I6/1000)^2/4</f>
        <v>1.2566370614359172E-3</v>
      </c>
      <c r="AL6" s="205">
        <f>IF(AI6=0,0,AI6/AK6)</f>
        <v>1.432394487827058</v>
      </c>
      <c r="AM6" s="202">
        <f t="shared" ref="AM6:AM45" si="12">IF(I6=0,0,(0.0126+(0.01739-0.1087*I6/1000)/POWER(AL6,1/2))/I6*1000000*POWER(AL6,2)/2/9.8)</f>
        <v>61.492816329605219</v>
      </c>
      <c r="AN6" s="208">
        <f t="shared" ref="AN6:AN45" si="13">IF(I6=0,0,(10.666*AH6^-1.85*(I6/1000)^-4.87*AI6^1.85)*1000)</f>
        <v>95.862133078710855</v>
      </c>
      <c r="AO6" s="203">
        <f t="shared" ref="AO6:AO45" si="14">MAX(H6:I6)</f>
        <v>40</v>
      </c>
      <c r="AP6" s="203">
        <f t="shared" ref="AP6:AP45" si="15">MIN(H6:I6)</f>
        <v>40</v>
      </c>
      <c r="AQ6" s="208">
        <f t="shared" ref="AQ6:AQ45" si="16">ROUND(42*J6^0.33/60,2)</f>
        <v>0</v>
      </c>
      <c r="AR6" s="208">
        <f t="shared" ref="AR6:AR45" si="17">ROUND(19*J6^0.67/60,2)</f>
        <v>0</v>
      </c>
      <c r="AS6" s="208">
        <f>ROUND(AQ6,1)</f>
        <v>0</v>
      </c>
      <c r="AT6" s="208">
        <f>ROUND(AR6,1)</f>
        <v>0</v>
      </c>
      <c r="AU6" s="187"/>
    </row>
    <row r="7" spans="1:47" ht="14.25" customHeight="1" x14ac:dyDescent="0.15">
      <c r="A7" s="187"/>
      <c r="B7" s="223">
        <v>3</v>
      </c>
      <c r="C7" s="281" t="s">
        <v>31</v>
      </c>
      <c r="D7" s="225"/>
      <c r="E7" s="187"/>
      <c r="F7" s="289">
        <v>15</v>
      </c>
      <c r="G7" s="298" t="str">
        <f t="shared" si="0"/>
        <v>Ａ～Ｂ</v>
      </c>
      <c r="H7" s="167"/>
      <c r="I7" s="166">
        <v>40</v>
      </c>
      <c r="J7" s="39"/>
      <c r="K7" s="37">
        <v>1</v>
      </c>
      <c r="L7" s="37"/>
      <c r="M7" s="183">
        <v>1</v>
      </c>
      <c r="N7" s="292">
        <v>1.8</v>
      </c>
      <c r="O7" s="187">
        <v>2</v>
      </c>
      <c r="P7" s="303" t="str">
        <f t="shared" ref="P7:T45" si="18">G7</f>
        <v>Ａ～Ｂ</v>
      </c>
      <c r="Q7" s="300">
        <f t="shared" si="18"/>
        <v>0</v>
      </c>
      <c r="R7" s="301">
        <f t="shared" si="18"/>
        <v>40</v>
      </c>
      <c r="S7" s="199">
        <f t="shared" si="18"/>
        <v>0</v>
      </c>
      <c r="T7" s="302">
        <f t="shared" si="18"/>
        <v>1</v>
      </c>
      <c r="U7" s="199">
        <f t="shared" ref="U7:U45" si="19">IF(K7=0,0,VLOOKUP(K7,同時開栓数,3))</f>
        <v>1</v>
      </c>
      <c r="V7" s="277">
        <f t="shared" si="1"/>
        <v>0</v>
      </c>
      <c r="W7" s="255">
        <f t="shared" si="2"/>
        <v>1.8</v>
      </c>
      <c r="X7" s="255" t="str">
        <f t="shared" si="3"/>
        <v>6.70</v>
      </c>
      <c r="Y7" s="278">
        <f t="shared" ref="Y7:Y45" si="20">IF(AP7&gt;50,AG7,AF7)</f>
        <v>61</v>
      </c>
      <c r="Z7" s="256">
        <f t="shared" si="4"/>
        <v>0.41</v>
      </c>
      <c r="AA7" s="187" t="str">
        <f t="shared" si="5"/>
        <v>ok</v>
      </c>
      <c r="AB7" s="38">
        <f t="shared" si="6"/>
        <v>6.7</v>
      </c>
      <c r="AC7" s="38" t="str">
        <f t="shared" ref="AC7:AC45" si="21">IF(AB7=0,0,TEXT(AB7,"0.00"))</f>
        <v>6.70</v>
      </c>
      <c r="AD7" s="38">
        <f t="shared" si="7"/>
        <v>6.7</v>
      </c>
      <c r="AE7" s="202">
        <f t="shared" si="8"/>
        <v>1.4</v>
      </c>
      <c r="AF7" s="203">
        <f t="shared" si="9"/>
        <v>61</v>
      </c>
      <c r="AG7" s="203">
        <f t="shared" si="9"/>
        <v>96</v>
      </c>
      <c r="AH7" s="204">
        <v>110</v>
      </c>
      <c r="AI7" s="205">
        <f>W7/1000</f>
        <v>1.8E-3</v>
      </c>
      <c r="AJ7" s="206">
        <f t="shared" si="10"/>
        <v>108</v>
      </c>
      <c r="AK7" s="207">
        <f t="shared" si="11"/>
        <v>1.2566370614359172E-3</v>
      </c>
      <c r="AL7" s="205">
        <f t="shared" ref="AL7:AL45" si="22">IF(AI7=0,0,AI7/AK7)</f>
        <v>1.432394487827058</v>
      </c>
      <c r="AM7" s="202">
        <f t="shared" si="12"/>
        <v>61.492816329605219</v>
      </c>
      <c r="AN7" s="208">
        <f t="shared" si="13"/>
        <v>95.862133078710855</v>
      </c>
      <c r="AO7" s="203">
        <f t="shared" si="14"/>
        <v>40</v>
      </c>
      <c r="AP7" s="203">
        <f t="shared" si="15"/>
        <v>40</v>
      </c>
      <c r="AQ7" s="208">
        <f t="shared" si="16"/>
        <v>0</v>
      </c>
      <c r="AR7" s="208">
        <f t="shared" si="17"/>
        <v>0</v>
      </c>
      <c r="AS7" s="208">
        <f t="shared" ref="AS7:AT45" si="23">ROUND(AQ7,1)</f>
        <v>0</v>
      </c>
      <c r="AT7" s="208">
        <f t="shared" si="23"/>
        <v>0</v>
      </c>
      <c r="AU7" s="187"/>
    </row>
    <row r="8" spans="1:47" ht="14.25" customHeight="1" x14ac:dyDescent="0.15">
      <c r="A8" s="187"/>
      <c r="B8" s="223">
        <v>4</v>
      </c>
      <c r="C8" s="281" t="s">
        <v>573</v>
      </c>
      <c r="D8" s="225"/>
      <c r="E8" s="187"/>
      <c r="F8" s="289">
        <v>5</v>
      </c>
      <c r="G8" s="298" t="str">
        <f t="shared" si="0"/>
        <v>甲乙丙</v>
      </c>
      <c r="H8" s="167"/>
      <c r="I8" s="166">
        <v>40</v>
      </c>
      <c r="J8" s="39"/>
      <c r="K8" s="37">
        <v>1</v>
      </c>
      <c r="L8" s="37"/>
      <c r="M8" s="183">
        <v>1</v>
      </c>
      <c r="N8" s="292">
        <v>1.8</v>
      </c>
      <c r="O8" s="187">
        <v>3</v>
      </c>
      <c r="P8" s="303" t="str">
        <f t="shared" si="18"/>
        <v>甲乙丙</v>
      </c>
      <c r="Q8" s="300">
        <f t="shared" si="18"/>
        <v>0</v>
      </c>
      <c r="R8" s="301">
        <f t="shared" si="18"/>
        <v>40</v>
      </c>
      <c r="S8" s="199">
        <f t="shared" si="18"/>
        <v>0</v>
      </c>
      <c r="T8" s="302">
        <f t="shared" si="18"/>
        <v>1</v>
      </c>
      <c r="U8" s="199">
        <f t="shared" si="19"/>
        <v>1</v>
      </c>
      <c r="V8" s="277">
        <f t="shared" si="1"/>
        <v>0</v>
      </c>
      <c r="W8" s="255">
        <f t="shared" si="2"/>
        <v>1.8</v>
      </c>
      <c r="X8" s="255" t="str">
        <f t="shared" si="3"/>
        <v>0.30</v>
      </c>
      <c r="Y8" s="278">
        <f t="shared" si="20"/>
        <v>61</v>
      </c>
      <c r="Z8" s="256">
        <f t="shared" si="4"/>
        <v>0.02</v>
      </c>
      <c r="AA8" s="187" t="str">
        <f t="shared" si="5"/>
        <v>ok</v>
      </c>
      <c r="AB8" s="38">
        <f t="shared" si="6"/>
        <v>0.3</v>
      </c>
      <c r="AC8" s="38" t="str">
        <f t="shared" si="21"/>
        <v>0.30</v>
      </c>
      <c r="AD8" s="38">
        <f t="shared" si="7"/>
        <v>0.3</v>
      </c>
      <c r="AE8" s="202">
        <f t="shared" si="8"/>
        <v>1.4</v>
      </c>
      <c r="AF8" s="203">
        <f t="shared" si="9"/>
        <v>61</v>
      </c>
      <c r="AG8" s="203">
        <f t="shared" si="9"/>
        <v>96</v>
      </c>
      <c r="AH8" s="204">
        <v>110</v>
      </c>
      <c r="AI8" s="205">
        <f>W8/1000</f>
        <v>1.8E-3</v>
      </c>
      <c r="AJ8" s="206">
        <f t="shared" si="10"/>
        <v>108</v>
      </c>
      <c r="AK8" s="207">
        <f t="shared" si="11"/>
        <v>1.2566370614359172E-3</v>
      </c>
      <c r="AL8" s="205">
        <f t="shared" si="22"/>
        <v>1.432394487827058</v>
      </c>
      <c r="AM8" s="202">
        <f t="shared" si="12"/>
        <v>61.492816329605219</v>
      </c>
      <c r="AN8" s="208">
        <f t="shared" si="13"/>
        <v>95.862133078710855</v>
      </c>
      <c r="AO8" s="203">
        <f t="shared" si="14"/>
        <v>40</v>
      </c>
      <c r="AP8" s="203">
        <f t="shared" si="15"/>
        <v>40</v>
      </c>
      <c r="AQ8" s="208">
        <f t="shared" si="16"/>
        <v>0</v>
      </c>
      <c r="AR8" s="208">
        <f t="shared" si="17"/>
        <v>0</v>
      </c>
      <c r="AS8" s="208">
        <f t="shared" si="23"/>
        <v>0</v>
      </c>
      <c r="AT8" s="208">
        <f t="shared" si="23"/>
        <v>0</v>
      </c>
      <c r="AU8" s="187"/>
    </row>
    <row r="9" spans="1:47" ht="14.25" customHeight="1" x14ac:dyDescent="0.15">
      <c r="A9" s="187"/>
      <c r="B9" s="223">
        <v>5</v>
      </c>
      <c r="C9" s="281" t="s">
        <v>9</v>
      </c>
      <c r="D9" s="225"/>
      <c r="E9" s="187"/>
      <c r="F9" s="290">
        <v>6</v>
      </c>
      <c r="G9" s="298" t="str">
        <f t="shared" si="0"/>
        <v>メーター</v>
      </c>
      <c r="H9" s="167"/>
      <c r="I9" s="166">
        <v>40</v>
      </c>
      <c r="J9" s="39"/>
      <c r="K9" s="37">
        <v>1</v>
      </c>
      <c r="L9" s="37"/>
      <c r="M9" s="183">
        <v>1</v>
      </c>
      <c r="N9" s="292">
        <v>1.8</v>
      </c>
      <c r="O9" s="187">
        <v>4</v>
      </c>
      <c r="P9" s="303" t="str">
        <f t="shared" si="18"/>
        <v>メーター</v>
      </c>
      <c r="Q9" s="300">
        <f t="shared" si="18"/>
        <v>0</v>
      </c>
      <c r="R9" s="301">
        <f t="shared" si="18"/>
        <v>40</v>
      </c>
      <c r="S9" s="199">
        <f t="shared" si="18"/>
        <v>0</v>
      </c>
      <c r="T9" s="302">
        <f t="shared" si="18"/>
        <v>1</v>
      </c>
      <c r="U9" s="199">
        <f t="shared" si="19"/>
        <v>1</v>
      </c>
      <c r="V9" s="277">
        <f t="shared" si="1"/>
        <v>0</v>
      </c>
      <c r="W9" s="255">
        <f t="shared" si="2"/>
        <v>1.8</v>
      </c>
      <c r="X9" s="255" t="str">
        <f t="shared" si="3"/>
        <v>20.00</v>
      </c>
      <c r="Y9" s="278">
        <f t="shared" si="20"/>
        <v>61</v>
      </c>
      <c r="Z9" s="256">
        <f t="shared" si="4"/>
        <v>1.22</v>
      </c>
      <c r="AA9" s="187" t="str">
        <f t="shared" si="5"/>
        <v>ok</v>
      </c>
      <c r="AB9" s="38">
        <f t="shared" si="6"/>
        <v>20</v>
      </c>
      <c r="AC9" s="38" t="str">
        <f t="shared" si="21"/>
        <v>20.00</v>
      </c>
      <c r="AD9" s="38">
        <f t="shared" si="7"/>
        <v>20</v>
      </c>
      <c r="AE9" s="202">
        <f t="shared" si="8"/>
        <v>1.4</v>
      </c>
      <c r="AF9" s="203">
        <f t="shared" si="9"/>
        <v>61</v>
      </c>
      <c r="AG9" s="203">
        <f t="shared" si="9"/>
        <v>96</v>
      </c>
      <c r="AH9" s="204">
        <v>110</v>
      </c>
      <c r="AI9" s="205">
        <f>W9/1000</f>
        <v>1.8E-3</v>
      </c>
      <c r="AJ9" s="206">
        <f t="shared" si="10"/>
        <v>108</v>
      </c>
      <c r="AK9" s="207">
        <f t="shared" si="11"/>
        <v>1.2566370614359172E-3</v>
      </c>
      <c r="AL9" s="205">
        <f t="shared" si="22"/>
        <v>1.432394487827058</v>
      </c>
      <c r="AM9" s="202">
        <f t="shared" si="12"/>
        <v>61.492816329605219</v>
      </c>
      <c r="AN9" s="208">
        <f t="shared" si="13"/>
        <v>95.862133078710855</v>
      </c>
      <c r="AO9" s="203">
        <f t="shared" si="14"/>
        <v>40</v>
      </c>
      <c r="AP9" s="203">
        <f t="shared" si="15"/>
        <v>40</v>
      </c>
      <c r="AQ9" s="208">
        <f t="shared" si="16"/>
        <v>0</v>
      </c>
      <c r="AR9" s="208">
        <f t="shared" si="17"/>
        <v>0</v>
      </c>
      <c r="AS9" s="208">
        <f t="shared" si="23"/>
        <v>0</v>
      </c>
      <c r="AT9" s="208">
        <f t="shared" si="23"/>
        <v>0</v>
      </c>
      <c r="AU9" s="187"/>
    </row>
    <row r="10" spans="1:47" ht="14.25" customHeight="1" x14ac:dyDescent="0.15">
      <c r="A10" s="187"/>
      <c r="B10" s="223">
        <v>6</v>
      </c>
      <c r="C10" s="281" t="s">
        <v>589</v>
      </c>
      <c r="D10" s="225"/>
      <c r="E10" s="187"/>
      <c r="F10" s="290">
        <v>16</v>
      </c>
      <c r="G10" s="298" t="str">
        <f t="shared" si="0"/>
        <v>Ｂ～Ｃ</v>
      </c>
      <c r="H10" s="167"/>
      <c r="I10" s="166">
        <v>40</v>
      </c>
      <c r="J10" s="39"/>
      <c r="K10" s="37">
        <v>1</v>
      </c>
      <c r="L10" s="37"/>
      <c r="M10" s="183">
        <v>1</v>
      </c>
      <c r="N10" s="292">
        <v>1.8</v>
      </c>
      <c r="O10" s="187">
        <v>5</v>
      </c>
      <c r="P10" s="303" t="str">
        <f t="shared" si="18"/>
        <v>Ｂ～Ｃ</v>
      </c>
      <c r="Q10" s="300">
        <f t="shared" si="18"/>
        <v>0</v>
      </c>
      <c r="R10" s="301">
        <f t="shared" si="18"/>
        <v>40</v>
      </c>
      <c r="S10" s="199">
        <f t="shared" si="18"/>
        <v>0</v>
      </c>
      <c r="T10" s="302">
        <f t="shared" si="18"/>
        <v>1</v>
      </c>
      <c r="U10" s="199">
        <f t="shared" si="19"/>
        <v>1</v>
      </c>
      <c r="V10" s="277">
        <f t="shared" si="1"/>
        <v>0</v>
      </c>
      <c r="W10" s="255">
        <f t="shared" si="2"/>
        <v>1.8</v>
      </c>
      <c r="X10" s="255" t="str">
        <f t="shared" si="3"/>
        <v>0.70</v>
      </c>
      <c r="Y10" s="278">
        <f t="shared" si="20"/>
        <v>61</v>
      </c>
      <c r="Z10" s="256">
        <f t="shared" si="4"/>
        <v>0.04</v>
      </c>
      <c r="AA10" s="187" t="str">
        <f t="shared" si="5"/>
        <v>ok</v>
      </c>
      <c r="AB10" s="38">
        <f t="shared" si="6"/>
        <v>0.7</v>
      </c>
      <c r="AC10" s="38" t="str">
        <f t="shared" si="21"/>
        <v>0.70</v>
      </c>
      <c r="AD10" s="38">
        <f t="shared" si="7"/>
        <v>0.7</v>
      </c>
      <c r="AE10" s="202">
        <f t="shared" si="8"/>
        <v>1.4</v>
      </c>
      <c r="AF10" s="203">
        <f t="shared" si="9"/>
        <v>61</v>
      </c>
      <c r="AG10" s="203">
        <f t="shared" si="9"/>
        <v>96</v>
      </c>
      <c r="AH10" s="204">
        <v>110</v>
      </c>
      <c r="AI10" s="205">
        <f t="shared" ref="AI10:AI45" si="24">W10/1000</f>
        <v>1.8E-3</v>
      </c>
      <c r="AJ10" s="206">
        <f t="shared" si="10"/>
        <v>108</v>
      </c>
      <c r="AK10" s="207">
        <f t="shared" si="11"/>
        <v>1.2566370614359172E-3</v>
      </c>
      <c r="AL10" s="205">
        <f t="shared" si="22"/>
        <v>1.432394487827058</v>
      </c>
      <c r="AM10" s="202">
        <f t="shared" si="12"/>
        <v>61.492816329605219</v>
      </c>
      <c r="AN10" s="208">
        <f t="shared" si="13"/>
        <v>95.862133078710855</v>
      </c>
      <c r="AO10" s="203">
        <f t="shared" si="14"/>
        <v>40</v>
      </c>
      <c r="AP10" s="203">
        <f t="shared" si="15"/>
        <v>40</v>
      </c>
      <c r="AQ10" s="208">
        <f t="shared" si="16"/>
        <v>0</v>
      </c>
      <c r="AR10" s="208">
        <f t="shared" si="17"/>
        <v>0</v>
      </c>
      <c r="AS10" s="208">
        <f t="shared" si="23"/>
        <v>0</v>
      </c>
      <c r="AT10" s="208">
        <f t="shared" si="23"/>
        <v>0</v>
      </c>
      <c r="AU10" s="187"/>
    </row>
    <row r="11" spans="1:47" ht="14.25" customHeight="1" x14ac:dyDescent="0.15">
      <c r="A11" s="187"/>
      <c r="B11" s="223">
        <v>7</v>
      </c>
      <c r="C11" s="281" t="s">
        <v>5</v>
      </c>
      <c r="D11" s="225"/>
      <c r="E11" s="187"/>
      <c r="F11" s="290">
        <v>17</v>
      </c>
      <c r="G11" s="298" t="str">
        <f t="shared" si="0"/>
        <v>Ｃ～Ｄ</v>
      </c>
      <c r="H11" s="167"/>
      <c r="I11" s="166">
        <v>30</v>
      </c>
      <c r="J11" s="39"/>
      <c r="K11" s="37">
        <v>1</v>
      </c>
      <c r="L11" s="37"/>
      <c r="M11" s="183">
        <v>1</v>
      </c>
      <c r="N11" s="292">
        <v>1.8</v>
      </c>
      <c r="O11" s="187">
        <v>6</v>
      </c>
      <c r="P11" s="303" t="str">
        <f t="shared" si="18"/>
        <v>Ｃ～Ｄ</v>
      </c>
      <c r="Q11" s="300">
        <f t="shared" si="18"/>
        <v>0</v>
      </c>
      <c r="R11" s="301">
        <f t="shared" si="18"/>
        <v>30</v>
      </c>
      <c r="S11" s="199">
        <f t="shared" si="18"/>
        <v>0</v>
      </c>
      <c r="T11" s="302">
        <f t="shared" si="18"/>
        <v>1</v>
      </c>
      <c r="U11" s="199">
        <f t="shared" si="19"/>
        <v>1</v>
      </c>
      <c r="V11" s="277">
        <f t="shared" si="1"/>
        <v>0</v>
      </c>
      <c r="W11" s="255">
        <f t="shared" si="2"/>
        <v>1.8</v>
      </c>
      <c r="X11" s="255" t="str">
        <f t="shared" si="3"/>
        <v>11.75</v>
      </c>
      <c r="Y11" s="278">
        <f t="shared" si="20"/>
        <v>237</v>
      </c>
      <c r="Z11" s="256">
        <f t="shared" si="4"/>
        <v>2.78</v>
      </c>
      <c r="AA11" s="187" t="str">
        <f t="shared" si="5"/>
        <v>out</v>
      </c>
      <c r="AB11" s="38">
        <f t="shared" si="6"/>
        <v>11.75</v>
      </c>
      <c r="AC11" s="38" t="str">
        <f t="shared" si="21"/>
        <v>11.75</v>
      </c>
      <c r="AD11" s="38">
        <f t="shared" si="7"/>
        <v>11.75</v>
      </c>
      <c r="AE11" s="202">
        <f t="shared" si="8"/>
        <v>2.5</v>
      </c>
      <c r="AF11" s="203">
        <f t="shared" si="9"/>
        <v>237</v>
      </c>
      <c r="AG11" s="203">
        <f t="shared" si="9"/>
        <v>389</v>
      </c>
      <c r="AH11" s="204">
        <v>110</v>
      </c>
      <c r="AI11" s="205">
        <f t="shared" si="24"/>
        <v>1.8E-3</v>
      </c>
      <c r="AJ11" s="206">
        <f t="shared" si="10"/>
        <v>108</v>
      </c>
      <c r="AK11" s="207">
        <f t="shared" si="11"/>
        <v>7.0685834705770342E-4</v>
      </c>
      <c r="AL11" s="205">
        <f t="shared" si="22"/>
        <v>2.5464790894703255</v>
      </c>
      <c r="AM11" s="202">
        <f t="shared" si="12"/>
        <v>236.59847575601054</v>
      </c>
      <c r="AN11" s="208">
        <f t="shared" si="13"/>
        <v>389.13360348662701</v>
      </c>
      <c r="AO11" s="203">
        <f t="shared" si="14"/>
        <v>30</v>
      </c>
      <c r="AP11" s="203">
        <f t="shared" si="15"/>
        <v>30</v>
      </c>
      <c r="AQ11" s="208">
        <f t="shared" si="16"/>
        <v>0</v>
      </c>
      <c r="AR11" s="208">
        <f t="shared" si="17"/>
        <v>0</v>
      </c>
      <c r="AS11" s="208">
        <f t="shared" si="23"/>
        <v>0</v>
      </c>
      <c r="AT11" s="208">
        <f t="shared" si="23"/>
        <v>0</v>
      </c>
      <c r="AU11" s="187"/>
    </row>
    <row r="12" spans="1:47" ht="14.25" customHeight="1" x14ac:dyDescent="0.15">
      <c r="A12" s="187"/>
      <c r="B12" s="223">
        <v>8</v>
      </c>
      <c r="C12" s="282" t="s">
        <v>13</v>
      </c>
      <c r="D12" s="225"/>
      <c r="E12" s="187"/>
      <c r="F12" s="290">
        <v>8</v>
      </c>
      <c r="G12" s="298" t="str">
        <f t="shared" si="0"/>
        <v>異径</v>
      </c>
      <c r="H12" s="167">
        <v>40</v>
      </c>
      <c r="I12" s="166">
        <v>30</v>
      </c>
      <c r="J12" s="39"/>
      <c r="K12" s="37">
        <v>1</v>
      </c>
      <c r="L12" s="37"/>
      <c r="M12" s="183">
        <v>1</v>
      </c>
      <c r="N12" s="292">
        <v>1.8</v>
      </c>
      <c r="O12" s="187">
        <v>7</v>
      </c>
      <c r="P12" s="303" t="str">
        <f t="shared" si="18"/>
        <v>異径</v>
      </c>
      <c r="Q12" s="300">
        <f t="shared" si="18"/>
        <v>40</v>
      </c>
      <c r="R12" s="301">
        <f t="shared" si="18"/>
        <v>30</v>
      </c>
      <c r="S12" s="199">
        <f t="shared" si="18"/>
        <v>0</v>
      </c>
      <c r="T12" s="302">
        <f t="shared" si="18"/>
        <v>1</v>
      </c>
      <c r="U12" s="199">
        <f t="shared" si="19"/>
        <v>1</v>
      </c>
      <c r="V12" s="277">
        <f t="shared" si="1"/>
        <v>0</v>
      </c>
      <c r="W12" s="255">
        <f t="shared" si="2"/>
        <v>1.8</v>
      </c>
      <c r="X12" s="255" t="str">
        <f t="shared" si="3"/>
        <v>1.00</v>
      </c>
      <c r="Y12" s="278">
        <f t="shared" si="20"/>
        <v>237</v>
      </c>
      <c r="Z12" s="256">
        <f t="shared" si="4"/>
        <v>0.24</v>
      </c>
      <c r="AA12" s="187" t="str">
        <f t="shared" si="5"/>
        <v>out</v>
      </c>
      <c r="AB12" s="38">
        <f t="shared" si="6"/>
        <v>1</v>
      </c>
      <c r="AC12" s="38" t="str">
        <f t="shared" si="21"/>
        <v>1.00</v>
      </c>
      <c r="AD12" s="38">
        <f t="shared" si="7"/>
        <v>1</v>
      </c>
      <c r="AE12" s="202">
        <f t="shared" si="8"/>
        <v>2.5</v>
      </c>
      <c r="AF12" s="203">
        <f t="shared" si="9"/>
        <v>237</v>
      </c>
      <c r="AG12" s="203">
        <f t="shared" si="9"/>
        <v>389</v>
      </c>
      <c r="AH12" s="204">
        <v>110</v>
      </c>
      <c r="AI12" s="205">
        <f t="shared" si="24"/>
        <v>1.8E-3</v>
      </c>
      <c r="AJ12" s="206">
        <f t="shared" si="10"/>
        <v>108</v>
      </c>
      <c r="AK12" s="207">
        <f t="shared" si="11"/>
        <v>7.0685834705770342E-4</v>
      </c>
      <c r="AL12" s="205">
        <f t="shared" si="22"/>
        <v>2.5464790894703255</v>
      </c>
      <c r="AM12" s="202">
        <f t="shared" si="12"/>
        <v>236.59847575601054</v>
      </c>
      <c r="AN12" s="208">
        <f t="shared" si="13"/>
        <v>389.13360348662701</v>
      </c>
      <c r="AO12" s="203">
        <f t="shared" si="14"/>
        <v>40</v>
      </c>
      <c r="AP12" s="203">
        <f t="shared" si="15"/>
        <v>30</v>
      </c>
      <c r="AQ12" s="208">
        <f t="shared" si="16"/>
        <v>0</v>
      </c>
      <c r="AR12" s="208">
        <f t="shared" si="17"/>
        <v>0</v>
      </c>
      <c r="AS12" s="208">
        <f t="shared" si="23"/>
        <v>0</v>
      </c>
      <c r="AT12" s="208">
        <f t="shared" si="23"/>
        <v>0</v>
      </c>
      <c r="AU12" s="187"/>
    </row>
    <row r="13" spans="1:47" ht="14.25" customHeight="1" x14ac:dyDescent="0.15">
      <c r="A13" s="187"/>
      <c r="B13" s="223">
        <v>9</v>
      </c>
      <c r="C13" s="282" t="s">
        <v>12</v>
      </c>
      <c r="D13" s="226"/>
      <c r="E13" s="187"/>
      <c r="F13" s="290">
        <v>3</v>
      </c>
      <c r="G13" s="298" t="str">
        <f t="shared" si="0"/>
        <v>仕切弁</v>
      </c>
      <c r="H13" s="167"/>
      <c r="I13" s="166">
        <v>30</v>
      </c>
      <c r="J13" s="39"/>
      <c r="K13" s="37">
        <v>1</v>
      </c>
      <c r="L13" s="37"/>
      <c r="M13" s="183">
        <v>1</v>
      </c>
      <c r="N13" s="292">
        <v>1.8</v>
      </c>
      <c r="O13" s="187">
        <v>8</v>
      </c>
      <c r="P13" s="303" t="str">
        <f t="shared" si="18"/>
        <v>仕切弁</v>
      </c>
      <c r="Q13" s="300">
        <f t="shared" si="18"/>
        <v>0</v>
      </c>
      <c r="R13" s="301">
        <f t="shared" si="18"/>
        <v>30</v>
      </c>
      <c r="S13" s="199">
        <f t="shared" si="18"/>
        <v>0</v>
      </c>
      <c r="T13" s="302">
        <f t="shared" si="18"/>
        <v>1</v>
      </c>
      <c r="U13" s="199">
        <f t="shared" si="19"/>
        <v>1</v>
      </c>
      <c r="V13" s="277">
        <f t="shared" si="1"/>
        <v>0</v>
      </c>
      <c r="W13" s="255">
        <f t="shared" si="2"/>
        <v>1.8</v>
      </c>
      <c r="X13" s="255" t="str">
        <f t="shared" si="3"/>
        <v>0.24</v>
      </c>
      <c r="Y13" s="278">
        <f t="shared" si="20"/>
        <v>237</v>
      </c>
      <c r="Z13" s="256">
        <f t="shared" si="4"/>
        <v>0.06</v>
      </c>
      <c r="AA13" s="187" t="str">
        <f t="shared" si="5"/>
        <v>out</v>
      </c>
      <c r="AB13" s="38">
        <f t="shared" si="6"/>
        <v>0.24</v>
      </c>
      <c r="AC13" s="38" t="str">
        <f t="shared" si="21"/>
        <v>0.24</v>
      </c>
      <c r="AD13" s="38">
        <f t="shared" si="7"/>
        <v>0.24</v>
      </c>
      <c r="AE13" s="202">
        <f t="shared" si="8"/>
        <v>2.5</v>
      </c>
      <c r="AF13" s="203">
        <f t="shared" si="9"/>
        <v>237</v>
      </c>
      <c r="AG13" s="203">
        <f t="shared" si="9"/>
        <v>389</v>
      </c>
      <c r="AH13" s="204">
        <v>110</v>
      </c>
      <c r="AI13" s="205">
        <f t="shared" si="24"/>
        <v>1.8E-3</v>
      </c>
      <c r="AJ13" s="206">
        <f t="shared" si="10"/>
        <v>108</v>
      </c>
      <c r="AK13" s="207">
        <f t="shared" si="11"/>
        <v>7.0685834705770342E-4</v>
      </c>
      <c r="AL13" s="205">
        <f t="shared" si="22"/>
        <v>2.5464790894703255</v>
      </c>
      <c r="AM13" s="202">
        <f t="shared" si="12"/>
        <v>236.59847575601054</v>
      </c>
      <c r="AN13" s="208">
        <f t="shared" si="13"/>
        <v>389.13360348662701</v>
      </c>
      <c r="AO13" s="203">
        <f t="shared" si="14"/>
        <v>30</v>
      </c>
      <c r="AP13" s="203">
        <f t="shared" si="15"/>
        <v>30</v>
      </c>
      <c r="AQ13" s="208">
        <f t="shared" si="16"/>
        <v>0</v>
      </c>
      <c r="AR13" s="208">
        <f t="shared" si="17"/>
        <v>0</v>
      </c>
      <c r="AS13" s="208">
        <f t="shared" si="23"/>
        <v>0</v>
      </c>
      <c r="AT13" s="208">
        <f t="shared" si="23"/>
        <v>0</v>
      </c>
      <c r="AU13" s="187"/>
    </row>
    <row r="14" spans="1:47" ht="14.25" customHeight="1" x14ac:dyDescent="0.15">
      <c r="A14" s="187"/>
      <c r="B14" s="223">
        <v>10</v>
      </c>
      <c r="C14" s="283" t="s">
        <v>642</v>
      </c>
      <c r="D14" s="227">
        <v>11.9</v>
      </c>
      <c r="E14" s="187"/>
      <c r="F14" s="290">
        <v>3</v>
      </c>
      <c r="G14" s="298" t="str">
        <f t="shared" si="0"/>
        <v>仕切弁</v>
      </c>
      <c r="H14" s="167"/>
      <c r="I14" s="166">
        <v>30</v>
      </c>
      <c r="J14" s="39"/>
      <c r="K14" s="37">
        <v>1</v>
      </c>
      <c r="L14" s="37"/>
      <c r="M14" s="183">
        <v>1</v>
      </c>
      <c r="N14" s="292">
        <v>1.8</v>
      </c>
      <c r="O14" s="187">
        <v>9</v>
      </c>
      <c r="P14" s="303" t="str">
        <f t="shared" si="18"/>
        <v>仕切弁</v>
      </c>
      <c r="Q14" s="300">
        <f t="shared" si="18"/>
        <v>0</v>
      </c>
      <c r="R14" s="301">
        <f t="shared" si="18"/>
        <v>30</v>
      </c>
      <c r="S14" s="199">
        <f t="shared" si="18"/>
        <v>0</v>
      </c>
      <c r="T14" s="302">
        <f t="shared" si="18"/>
        <v>1</v>
      </c>
      <c r="U14" s="199">
        <f t="shared" si="19"/>
        <v>1</v>
      </c>
      <c r="V14" s="277">
        <f t="shared" si="1"/>
        <v>0</v>
      </c>
      <c r="W14" s="255">
        <f t="shared" si="2"/>
        <v>1.8</v>
      </c>
      <c r="X14" s="255" t="str">
        <f t="shared" si="3"/>
        <v>0.24</v>
      </c>
      <c r="Y14" s="278">
        <f t="shared" si="20"/>
        <v>237</v>
      </c>
      <c r="Z14" s="256">
        <f t="shared" si="4"/>
        <v>0.06</v>
      </c>
      <c r="AA14" s="187" t="str">
        <f t="shared" si="5"/>
        <v>out</v>
      </c>
      <c r="AB14" s="38">
        <f t="shared" si="6"/>
        <v>0.24</v>
      </c>
      <c r="AC14" s="38" t="str">
        <f t="shared" si="21"/>
        <v>0.24</v>
      </c>
      <c r="AD14" s="38">
        <f t="shared" si="7"/>
        <v>0.24</v>
      </c>
      <c r="AE14" s="202">
        <f t="shared" si="8"/>
        <v>2.5</v>
      </c>
      <c r="AF14" s="203">
        <f t="shared" si="9"/>
        <v>237</v>
      </c>
      <c r="AG14" s="203">
        <f t="shared" si="9"/>
        <v>389</v>
      </c>
      <c r="AH14" s="204">
        <v>110</v>
      </c>
      <c r="AI14" s="205">
        <f t="shared" si="24"/>
        <v>1.8E-3</v>
      </c>
      <c r="AJ14" s="206">
        <f t="shared" si="10"/>
        <v>108</v>
      </c>
      <c r="AK14" s="207">
        <f t="shared" si="11"/>
        <v>7.0685834705770342E-4</v>
      </c>
      <c r="AL14" s="205">
        <f t="shared" si="22"/>
        <v>2.5464790894703255</v>
      </c>
      <c r="AM14" s="202">
        <f t="shared" si="12"/>
        <v>236.59847575601054</v>
      </c>
      <c r="AN14" s="208">
        <f t="shared" si="13"/>
        <v>389.13360348662701</v>
      </c>
      <c r="AO14" s="203">
        <f t="shared" si="14"/>
        <v>30</v>
      </c>
      <c r="AP14" s="203">
        <f t="shared" si="15"/>
        <v>30</v>
      </c>
      <c r="AQ14" s="208">
        <f t="shared" si="16"/>
        <v>0</v>
      </c>
      <c r="AR14" s="208">
        <f t="shared" si="17"/>
        <v>0</v>
      </c>
      <c r="AS14" s="208">
        <f t="shared" si="23"/>
        <v>0</v>
      </c>
      <c r="AT14" s="208">
        <f t="shared" si="23"/>
        <v>0</v>
      </c>
      <c r="AU14" s="187"/>
    </row>
    <row r="15" spans="1:47" ht="14.25" customHeight="1" x14ac:dyDescent="0.15">
      <c r="A15" s="187"/>
      <c r="B15" s="223">
        <v>11</v>
      </c>
      <c r="C15" s="283" t="s">
        <v>585</v>
      </c>
      <c r="D15" s="227"/>
      <c r="E15" s="187"/>
      <c r="F15" s="290">
        <v>10</v>
      </c>
      <c r="G15" s="298" t="str">
        <f t="shared" si="0"/>
        <v>定水位弁</v>
      </c>
      <c r="H15" s="167"/>
      <c r="I15" s="166">
        <v>30</v>
      </c>
      <c r="J15" s="39"/>
      <c r="K15" s="37">
        <v>1</v>
      </c>
      <c r="L15" s="37"/>
      <c r="M15" s="183">
        <v>1</v>
      </c>
      <c r="N15" s="292">
        <v>1.8</v>
      </c>
      <c r="O15" s="187">
        <v>10</v>
      </c>
      <c r="P15" s="303" t="str">
        <f t="shared" si="18"/>
        <v>定水位弁</v>
      </c>
      <c r="Q15" s="300">
        <f t="shared" si="18"/>
        <v>0</v>
      </c>
      <c r="R15" s="301">
        <f t="shared" si="18"/>
        <v>30</v>
      </c>
      <c r="S15" s="199">
        <f t="shared" si="18"/>
        <v>0</v>
      </c>
      <c r="T15" s="302">
        <f t="shared" si="18"/>
        <v>1</v>
      </c>
      <c r="U15" s="199">
        <f t="shared" si="19"/>
        <v>1</v>
      </c>
      <c r="V15" s="277">
        <f t="shared" si="1"/>
        <v>0</v>
      </c>
      <c r="W15" s="255">
        <f t="shared" si="2"/>
        <v>1.8</v>
      </c>
      <c r="X15" s="255" t="str">
        <f t="shared" si="3"/>
        <v>11.90</v>
      </c>
      <c r="Y15" s="278">
        <f t="shared" si="20"/>
        <v>237</v>
      </c>
      <c r="Z15" s="256">
        <f t="shared" si="4"/>
        <v>2.82</v>
      </c>
      <c r="AA15" s="187" t="str">
        <f t="shared" si="5"/>
        <v>out</v>
      </c>
      <c r="AB15" s="38">
        <f t="shared" si="6"/>
        <v>11.9</v>
      </c>
      <c r="AC15" s="38" t="str">
        <f t="shared" si="21"/>
        <v>11.90</v>
      </c>
      <c r="AD15" s="38">
        <f t="shared" si="7"/>
        <v>11.9</v>
      </c>
      <c r="AE15" s="202">
        <f t="shared" si="8"/>
        <v>2.5</v>
      </c>
      <c r="AF15" s="203">
        <f t="shared" si="9"/>
        <v>237</v>
      </c>
      <c r="AG15" s="203">
        <f t="shared" si="9"/>
        <v>389</v>
      </c>
      <c r="AH15" s="204">
        <v>110</v>
      </c>
      <c r="AI15" s="205">
        <f t="shared" si="24"/>
        <v>1.8E-3</v>
      </c>
      <c r="AJ15" s="206">
        <f t="shared" si="10"/>
        <v>108</v>
      </c>
      <c r="AK15" s="207">
        <f t="shared" si="11"/>
        <v>7.0685834705770342E-4</v>
      </c>
      <c r="AL15" s="205">
        <f t="shared" si="22"/>
        <v>2.5464790894703255</v>
      </c>
      <c r="AM15" s="202">
        <f t="shared" si="12"/>
        <v>236.59847575601054</v>
      </c>
      <c r="AN15" s="208">
        <f t="shared" si="13"/>
        <v>389.13360348662701</v>
      </c>
      <c r="AO15" s="203">
        <f t="shared" si="14"/>
        <v>30</v>
      </c>
      <c r="AP15" s="203">
        <f t="shared" si="15"/>
        <v>30</v>
      </c>
      <c r="AQ15" s="208">
        <f t="shared" si="16"/>
        <v>0</v>
      </c>
      <c r="AR15" s="208">
        <f t="shared" si="17"/>
        <v>0</v>
      </c>
      <c r="AS15" s="208">
        <f t="shared" si="23"/>
        <v>0</v>
      </c>
      <c r="AT15" s="208">
        <f t="shared" si="23"/>
        <v>0</v>
      </c>
      <c r="AU15" s="187"/>
    </row>
    <row r="16" spans="1:47" ht="14.25" customHeight="1" x14ac:dyDescent="0.15">
      <c r="A16" s="187"/>
      <c r="B16" s="223">
        <v>12</v>
      </c>
      <c r="C16" s="283" t="s">
        <v>586</v>
      </c>
      <c r="D16" s="227"/>
      <c r="E16" s="187"/>
      <c r="F16" s="290"/>
      <c r="G16" s="298">
        <f t="shared" si="0"/>
        <v>0</v>
      </c>
      <c r="H16" s="167"/>
      <c r="I16" s="166"/>
      <c r="J16" s="39"/>
      <c r="K16" s="37"/>
      <c r="L16" s="37"/>
      <c r="M16" s="183">
        <v>1</v>
      </c>
      <c r="N16" s="292"/>
      <c r="O16" s="187">
        <v>11</v>
      </c>
      <c r="P16" s="303">
        <f t="shared" si="18"/>
        <v>0</v>
      </c>
      <c r="Q16" s="300">
        <f t="shared" si="18"/>
        <v>0</v>
      </c>
      <c r="R16" s="301">
        <f t="shared" si="18"/>
        <v>0</v>
      </c>
      <c r="S16" s="199">
        <f t="shared" si="18"/>
        <v>0</v>
      </c>
      <c r="T16" s="302">
        <f t="shared" si="18"/>
        <v>0</v>
      </c>
      <c r="U16" s="199">
        <f t="shared" si="19"/>
        <v>0</v>
      </c>
      <c r="V16" s="277">
        <f t="shared" si="1"/>
        <v>0</v>
      </c>
      <c r="W16" s="255">
        <f t="shared" si="2"/>
        <v>0</v>
      </c>
      <c r="X16" s="255">
        <f t="shared" si="3"/>
        <v>0</v>
      </c>
      <c r="Y16" s="278">
        <f t="shared" si="20"/>
        <v>0</v>
      </c>
      <c r="Z16" s="256">
        <f t="shared" si="4"/>
        <v>0</v>
      </c>
      <c r="AA16" s="187" t="str">
        <f t="shared" si="5"/>
        <v>ok</v>
      </c>
      <c r="AB16" s="38">
        <f t="shared" si="6"/>
        <v>0</v>
      </c>
      <c r="AC16" s="38">
        <f t="shared" si="21"/>
        <v>0</v>
      </c>
      <c r="AD16" s="38">
        <f t="shared" si="7"/>
        <v>0</v>
      </c>
      <c r="AE16" s="202">
        <f t="shared" si="8"/>
        <v>0</v>
      </c>
      <c r="AF16" s="203">
        <f t="shared" si="9"/>
        <v>0</v>
      </c>
      <c r="AG16" s="203">
        <f t="shared" si="9"/>
        <v>0</v>
      </c>
      <c r="AH16" s="204">
        <v>110</v>
      </c>
      <c r="AI16" s="205">
        <f t="shared" si="24"/>
        <v>0</v>
      </c>
      <c r="AJ16" s="206">
        <f t="shared" si="10"/>
        <v>0</v>
      </c>
      <c r="AK16" s="207">
        <f t="shared" si="11"/>
        <v>0</v>
      </c>
      <c r="AL16" s="205">
        <f t="shared" si="22"/>
        <v>0</v>
      </c>
      <c r="AM16" s="202">
        <f t="shared" si="12"/>
        <v>0</v>
      </c>
      <c r="AN16" s="208">
        <f t="shared" si="13"/>
        <v>0</v>
      </c>
      <c r="AO16" s="203">
        <f t="shared" si="14"/>
        <v>0</v>
      </c>
      <c r="AP16" s="203">
        <f t="shared" si="15"/>
        <v>0</v>
      </c>
      <c r="AQ16" s="208">
        <f t="shared" si="16"/>
        <v>0</v>
      </c>
      <c r="AR16" s="208">
        <f t="shared" si="17"/>
        <v>0</v>
      </c>
      <c r="AS16" s="208">
        <f t="shared" si="23"/>
        <v>0</v>
      </c>
      <c r="AT16" s="208">
        <f t="shared" si="23"/>
        <v>0</v>
      </c>
      <c r="AU16" s="187"/>
    </row>
    <row r="17" spans="1:48" ht="14.25" customHeight="1" x14ac:dyDescent="0.15">
      <c r="A17" s="187"/>
      <c r="B17" s="223">
        <v>13</v>
      </c>
      <c r="C17" s="283" t="s">
        <v>587</v>
      </c>
      <c r="D17" s="227"/>
      <c r="E17" s="187"/>
      <c r="F17" s="290"/>
      <c r="G17" s="298">
        <f t="shared" si="0"/>
        <v>0</v>
      </c>
      <c r="H17" s="167"/>
      <c r="I17" s="166"/>
      <c r="J17" s="39"/>
      <c r="K17" s="37"/>
      <c r="L17" s="37"/>
      <c r="M17" s="183">
        <v>1</v>
      </c>
      <c r="N17" s="292"/>
      <c r="O17" s="187">
        <v>12</v>
      </c>
      <c r="P17" s="303">
        <f t="shared" si="18"/>
        <v>0</v>
      </c>
      <c r="Q17" s="300">
        <f t="shared" si="18"/>
        <v>0</v>
      </c>
      <c r="R17" s="301">
        <f t="shared" si="18"/>
        <v>0</v>
      </c>
      <c r="S17" s="199">
        <f t="shared" si="18"/>
        <v>0</v>
      </c>
      <c r="T17" s="302">
        <f t="shared" si="18"/>
        <v>0</v>
      </c>
      <c r="U17" s="199">
        <f t="shared" si="19"/>
        <v>0</v>
      </c>
      <c r="V17" s="277">
        <f t="shared" si="1"/>
        <v>0</v>
      </c>
      <c r="W17" s="255">
        <f t="shared" si="2"/>
        <v>0</v>
      </c>
      <c r="X17" s="255">
        <f t="shared" si="3"/>
        <v>0</v>
      </c>
      <c r="Y17" s="278">
        <f t="shared" si="20"/>
        <v>0</v>
      </c>
      <c r="Z17" s="256">
        <f t="shared" si="4"/>
        <v>0</v>
      </c>
      <c r="AA17" s="187" t="str">
        <f t="shared" si="5"/>
        <v>ok</v>
      </c>
      <c r="AB17" s="38">
        <f t="shared" si="6"/>
        <v>0</v>
      </c>
      <c r="AC17" s="38">
        <f t="shared" si="21"/>
        <v>0</v>
      </c>
      <c r="AD17" s="38">
        <f t="shared" si="7"/>
        <v>0</v>
      </c>
      <c r="AE17" s="202">
        <f t="shared" si="8"/>
        <v>0</v>
      </c>
      <c r="AF17" s="203">
        <f t="shared" si="9"/>
        <v>0</v>
      </c>
      <c r="AG17" s="203">
        <f t="shared" si="9"/>
        <v>0</v>
      </c>
      <c r="AH17" s="204">
        <v>110</v>
      </c>
      <c r="AI17" s="205">
        <f t="shared" si="24"/>
        <v>0</v>
      </c>
      <c r="AJ17" s="206">
        <f t="shared" si="10"/>
        <v>0</v>
      </c>
      <c r="AK17" s="207">
        <f t="shared" si="11"/>
        <v>0</v>
      </c>
      <c r="AL17" s="205">
        <f t="shared" si="22"/>
        <v>0</v>
      </c>
      <c r="AM17" s="202">
        <f t="shared" si="12"/>
        <v>0</v>
      </c>
      <c r="AN17" s="208">
        <f t="shared" si="13"/>
        <v>0</v>
      </c>
      <c r="AO17" s="203">
        <f t="shared" si="14"/>
        <v>0</v>
      </c>
      <c r="AP17" s="203">
        <f t="shared" si="15"/>
        <v>0</v>
      </c>
      <c r="AQ17" s="208">
        <f t="shared" si="16"/>
        <v>0</v>
      </c>
      <c r="AR17" s="208">
        <f t="shared" si="17"/>
        <v>0</v>
      </c>
      <c r="AS17" s="208">
        <f t="shared" si="23"/>
        <v>0</v>
      </c>
      <c r="AT17" s="208">
        <f t="shared" si="23"/>
        <v>0</v>
      </c>
      <c r="AU17" s="187"/>
    </row>
    <row r="18" spans="1:48" ht="14.25" customHeight="1" x14ac:dyDescent="0.15">
      <c r="A18" s="187"/>
      <c r="B18" s="223">
        <v>14</v>
      </c>
      <c r="C18" s="283" t="s">
        <v>588</v>
      </c>
      <c r="D18" s="227"/>
      <c r="E18" s="187"/>
      <c r="F18" s="290"/>
      <c r="G18" s="298">
        <f t="shared" si="0"/>
        <v>0</v>
      </c>
      <c r="H18" s="167"/>
      <c r="I18" s="166"/>
      <c r="J18" s="39"/>
      <c r="K18" s="37"/>
      <c r="L18" s="37"/>
      <c r="M18" s="183">
        <v>1</v>
      </c>
      <c r="N18" s="292"/>
      <c r="O18" s="187">
        <v>13</v>
      </c>
      <c r="P18" s="303">
        <f t="shared" si="18"/>
        <v>0</v>
      </c>
      <c r="Q18" s="300">
        <f t="shared" si="18"/>
        <v>0</v>
      </c>
      <c r="R18" s="301">
        <f t="shared" si="18"/>
        <v>0</v>
      </c>
      <c r="S18" s="199">
        <f t="shared" si="18"/>
        <v>0</v>
      </c>
      <c r="T18" s="302">
        <f t="shared" si="18"/>
        <v>0</v>
      </c>
      <c r="U18" s="199">
        <f t="shared" si="19"/>
        <v>0</v>
      </c>
      <c r="V18" s="277">
        <f t="shared" si="1"/>
        <v>0</v>
      </c>
      <c r="W18" s="255">
        <f t="shared" si="2"/>
        <v>0</v>
      </c>
      <c r="X18" s="255">
        <f t="shared" si="3"/>
        <v>0</v>
      </c>
      <c r="Y18" s="278">
        <f t="shared" si="20"/>
        <v>0</v>
      </c>
      <c r="Z18" s="256">
        <f t="shared" si="4"/>
        <v>0</v>
      </c>
      <c r="AA18" s="187" t="str">
        <f t="shared" si="5"/>
        <v>ok</v>
      </c>
      <c r="AB18" s="38">
        <f t="shared" si="6"/>
        <v>0</v>
      </c>
      <c r="AC18" s="38">
        <f t="shared" si="21"/>
        <v>0</v>
      </c>
      <c r="AD18" s="38">
        <f t="shared" si="7"/>
        <v>0</v>
      </c>
      <c r="AE18" s="202">
        <f t="shared" si="8"/>
        <v>0</v>
      </c>
      <c r="AF18" s="203">
        <f t="shared" si="9"/>
        <v>0</v>
      </c>
      <c r="AG18" s="203">
        <f t="shared" si="9"/>
        <v>0</v>
      </c>
      <c r="AH18" s="204">
        <v>110</v>
      </c>
      <c r="AI18" s="205">
        <f t="shared" si="24"/>
        <v>0</v>
      </c>
      <c r="AJ18" s="206">
        <f t="shared" si="10"/>
        <v>0</v>
      </c>
      <c r="AK18" s="207">
        <f t="shared" si="11"/>
        <v>0</v>
      </c>
      <c r="AL18" s="205">
        <f t="shared" si="22"/>
        <v>0</v>
      </c>
      <c r="AM18" s="202">
        <f t="shared" si="12"/>
        <v>0</v>
      </c>
      <c r="AN18" s="208">
        <f t="shared" si="13"/>
        <v>0</v>
      </c>
      <c r="AO18" s="203">
        <f t="shared" si="14"/>
        <v>0</v>
      </c>
      <c r="AP18" s="203">
        <f t="shared" si="15"/>
        <v>0</v>
      </c>
      <c r="AQ18" s="208">
        <f t="shared" si="16"/>
        <v>0</v>
      </c>
      <c r="AR18" s="208">
        <f t="shared" si="17"/>
        <v>0</v>
      </c>
      <c r="AS18" s="208">
        <f t="shared" si="23"/>
        <v>0</v>
      </c>
      <c r="AT18" s="208">
        <f t="shared" si="23"/>
        <v>0</v>
      </c>
      <c r="AU18" s="187"/>
    </row>
    <row r="19" spans="1:48" ht="14.25" customHeight="1" x14ac:dyDescent="0.15">
      <c r="A19" s="187"/>
      <c r="B19" s="223">
        <v>15</v>
      </c>
      <c r="C19" s="284" t="s">
        <v>590</v>
      </c>
      <c r="D19" s="227">
        <v>6.7</v>
      </c>
      <c r="E19" s="187"/>
      <c r="F19" s="290"/>
      <c r="G19" s="298">
        <f t="shared" si="0"/>
        <v>0</v>
      </c>
      <c r="H19" s="167"/>
      <c r="I19" s="166"/>
      <c r="J19" s="39"/>
      <c r="K19" s="37"/>
      <c r="L19" s="37"/>
      <c r="M19" s="183">
        <v>1</v>
      </c>
      <c r="N19" s="292"/>
      <c r="O19" s="187">
        <v>14</v>
      </c>
      <c r="P19" s="303">
        <f t="shared" si="18"/>
        <v>0</v>
      </c>
      <c r="Q19" s="300">
        <f t="shared" si="18"/>
        <v>0</v>
      </c>
      <c r="R19" s="301">
        <f t="shared" si="18"/>
        <v>0</v>
      </c>
      <c r="S19" s="199">
        <f t="shared" si="18"/>
        <v>0</v>
      </c>
      <c r="T19" s="302">
        <f t="shared" si="18"/>
        <v>0</v>
      </c>
      <c r="U19" s="199">
        <f t="shared" si="19"/>
        <v>0</v>
      </c>
      <c r="V19" s="277">
        <f t="shared" si="1"/>
        <v>0</v>
      </c>
      <c r="W19" s="255">
        <f t="shared" si="2"/>
        <v>0</v>
      </c>
      <c r="X19" s="255">
        <f t="shared" si="3"/>
        <v>0</v>
      </c>
      <c r="Y19" s="278">
        <f t="shared" si="20"/>
        <v>0</v>
      </c>
      <c r="Z19" s="256">
        <f t="shared" si="4"/>
        <v>0</v>
      </c>
      <c r="AA19" s="187" t="str">
        <f t="shared" si="5"/>
        <v>ok</v>
      </c>
      <c r="AB19" s="38">
        <f t="shared" si="6"/>
        <v>0</v>
      </c>
      <c r="AC19" s="38">
        <f t="shared" si="21"/>
        <v>0</v>
      </c>
      <c r="AD19" s="38">
        <f t="shared" si="7"/>
        <v>0</v>
      </c>
      <c r="AE19" s="202">
        <f t="shared" si="8"/>
        <v>0</v>
      </c>
      <c r="AF19" s="203">
        <f t="shared" si="9"/>
        <v>0</v>
      </c>
      <c r="AG19" s="203">
        <f t="shared" si="9"/>
        <v>0</v>
      </c>
      <c r="AH19" s="204">
        <v>110</v>
      </c>
      <c r="AI19" s="205">
        <f t="shared" si="24"/>
        <v>0</v>
      </c>
      <c r="AJ19" s="206">
        <f t="shared" si="10"/>
        <v>0</v>
      </c>
      <c r="AK19" s="207">
        <f t="shared" si="11"/>
        <v>0</v>
      </c>
      <c r="AL19" s="205">
        <f t="shared" si="22"/>
        <v>0</v>
      </c>
      <c r="AM19" s="202">
        <f t="shared" si="12"/>
        <v>0</v>
      </c>
      <c r="AN19" s="208">
        <f t="shared" si="13"/>
        <v>0</v>
      </c>
      <c r="AO19" s="203">
        <f t="shared" si="14"/>
        <v>0</v>
      </c>
      <c r="AP19" s="203">
        <f t="shared" si="15"/>
        <v>0</v>
      </c>
      <c r="AQ19" s="208">
        <f t="shared" si="16"/>
        <v>0</v>
      </c>
      <c r="AR19" s="208">
        <f t="shared" si="17"/>
        <v>0</v>
      </c>
      <c r="AS19" s="208">
        <f t="shared" si="23"/>
        <v>0</v>
      </c>
      <c r="AT19" s="208">
        <f t="shared" si="23"/>
        <v>0</v>
      </c>
      <c r="AU19" s="187"/>
    </row>
    <row r="20" spans="1:48" ht="14.25" customHeight="1" x14ac:dyDescent="0.15">
      <c r="A20" s="187"/>
      <c r="B20" s="223">
        <v>16</v>
      </c>
      <c r="C20" s="284" t="s">
        <v>591</v>
      </c>
      <c r="D20" s="227">
        <v>0.7</v>
      </c>
      <c r="E20" s="187"/>
      <c r="F20" s="290"/>
      <c r="G20" s="298">
        <f t="shared" si="0"/>
        <v>0</v>
      </c>
      <c r="H20" s="167"/>
      <c r="I20" s="166"/>
      <c r="J20" s="39"/>
      <c r="K20" s="37"/>
      <c r="L20" s="37"/>
      <c r="M20" s="183">
        <v>1</v>
      </c>
      <c r="N20" s="292"/>
      <c r="O20" s="187">
        <v>15</v>
      </c>
      <c r="P20" s="303">
        <f t="shared" si="18"/>
        <v>0</v>
      </c>
      <c r="Q20" s="300">
        <f t="shared" si="18"/>
        <v>0</v>
      </c>
      <c r="R20" s="301">
        <f t="shared" si="18"/>
        <v>0</v>
      </c>
      <c r="S20" s="199">
        <f t="shared" si="18"/>
        <v>0</v>
      </c>
      <c r="T20" s="302">
        <f t="shared" si="18"/>
        <v>0</v>
      </c>
      <c r="U20" s="199">
        <f t="shared" si="19"/>
        <v>0</v>
      </c>
      <c r="V20" s="277">
        <f t="shared" si="1"/>
        <v>0</v>
      </c>
      <c r="W20" s="255">
        <f t="shared" si="2"/>
        <v>0</v>
      </c>
      <c r="X20" s="255">
        <f t="shared" si="3"/>
        <v>0</v>
      </c>
      <c r="Y20" s="278">
        <f t="shared" si="20"/>
        <v>0</v>
      </c>
      <c r="Z20" s="256">
        <f t="shared" si="4"/>
        <v>0</v>
      </c>
      <c r="AA20" s="187" t="str">
        <f t="shared" si="5"/>
        <v>ok</v>
      </c>
      <c r="AB20" s="38">
        <f t="shared" si="6"/>
        <v>0</v>
      </c>
      <c r="AC20" s="38">
        <f t="shared" si="21"/>
        <v>0</v>
      </c>
      <c r="AD20" s="38">
        <f t="shared" si="7"/>
        <v>0</v>
      </c>
      <c r="AE20" s="202">
        <f t="shared" si="8"/>
        <v>0</v>
      </c>
      <c r="AF20" s="203">
        <f t="shared" si="9"/>
        <v>0</v>
      </c>
      <c r="AG20" s="203">
        <f t="shared" si="9"/>
        <v>0</v>
      </c>
      <c r="AH20" s="204">
        <v>110</v>
      </c>
      <c r="AI20" s="205">
        <f t="shared" si="24"/>
        <v>0</v>
      </c>
      <c r="AJ20" s="206">
        <f t="shared" si="10"/>
        <v>0</v>
      </c>
      <c r="AK20" s="207">
        <f t="shared" si="11"/>
        <v>0</v>
      </c>
      <c r="AL20" s="205">
        <f t="shared" si="22"/>
        <v>0</v>
      </c>
      <c r="AM20" s="202">
        <f t="shared" si="12"/>
        <v>0</v>
      </c>
      <c r="AN20" s="208">
        <f t="shared" si="13"/>
        <v>0</v>
      </c>
      <c r="AO20" s="203">
        <f t="shared" si="14"/>
        <v>0</v>
      </c>
      <c r="AP20" s="203">
        <f t="shared" si="15"/>
        <v>0</v>
      </c>
      <c r="AQ20" s="208">
        <f t="shared" si="16"/>
        <v>0</v>
      </c>
      <c r="AR20" s="208">
        <f t="shared" si="17"/>
        <v>0</v>
      </c>
      <c r="AS20" s="208">
        <f t="shared" si="23"/>
        <v>0</v>
      </c>
      <c r="AT20" s="208">
        <f t="shared" si="23"/>
        <v>0</v>
      </c>
      <c r="AU20" s="187"/>
    </row>
    <row r="21" spans="1:48" ht="14.25" customHeight="1" x14ac:dyDescent="0.15">
      <c r="A21" s="187"/>
      <c r="B21" s="223">
        <v>17</v>
      </c>
      <c r="C21" s="284" t="s">
        <v>592</v>
      </c>
      <c r="D21" s="227">
        <v>11.75</v>
      </c>
      <c r="E21" s="187"/>
      <c r="F21" s="290"/>
      <c r="G21" s="298">
        <f t="shared" si="0"/>
        <v>0</v>
      </c>
      <c r="H21" s="167"/>
      <c r="I21" s="166"/>
      <c r="J21" s="39"/>
      <c r="K21" s="37"/>
      <c r="L21" s="37"/>
      <c r="M21" s="183">
        <v>1</v>
      </c>
      <c r="N21" s="292"/>
      <c r="O21" s="187">
        <v>16</v>
      </c>
      <c r="P21" s="303">
        <f t="shared" si="18"/>
        <v>0</v>
      </c>
      <c r="Q21" s="300">
        <f t="shared" si="18"/>
        <v>0</v>
      </c>
      <c r="R21" s="301">
        <f t="shared" si="18"/>
        <v>0</v>
      </c>
      <c r="S21" s="199">
        <f t="shared" si="18"/>
        <v>0</v>
      </c>
      <c r="T21" s="302">
        <f t="shared" si="18"/>
        <v>0</v>
      </c>
      <c r="U21" s="199">
        <f t="shared" si="19"/>
        <v>0</v>
      </c>
      <c r="V21" s="277">
        <f t="shared" si="1"/>
        <v>0</v>
      </c>
      <c r="W21" s="255">
        <f t="shared" si="2"/>
        <v>0</v>
      </c>
      <c r="X21" s="255">
        <f t="shared" si="3"/>
        <v>0</v>
      </c>
      <c r="Y21" s="278">
        <f t="shared" si="20"/>
        <v>0</v>
      </c>
      <c r="Z21" s="256">
        <f t="shared" si="4"/>
        <v>0</v>
      </c>
      <c r="AA21" s="187" t="str">
        <f t="shared" si="5"/>
        <v>ok</v>
      </c>
      <c r="AB21" s="38">
        <f t="shared" si="6"/>
        <v>0</v>
      </c>
      <c r="AC21" s="38">
        <f t="shared" si="21"/>
        <v>0</v>
      </c>
      <c r="AD21" s="38">
        <f t="shared" si="7"/>
        <v>0</v>
      </c>
      <c r="AE21" s="202">
        <f t="shared" si="8"/>
        <v>0</v>
      </c>
      <c r="AF21" s="203">
        <f t="shared" si="9"/>
        <v>0</v>
      </c>
      <c r="AG21" s="203">
        <f t="shared" si="9"/>
        <v>0</v>
      </c>
      <c r="AH21" s="204">
        <v>110</v>
      </c>
      <c r="AI21" s="205">
        <f t="shared" si="24"/>
        <v>0</v>
      </c>
      <c r="AJ21" s="206">
        <f t="shared" si="10"/>
        <v>0</v>
      </c>
      <c r="AK21" s="207">
        <f t="shared" si="11"/>
        <v>0</v>
      </c>
      <c r="AL21" s="205">
        <f t="shared" si="22"/>
        <v>0</v>
      </c>
      <c r="AM21" s="202">
        <f t="shared" si="12"/>
        <v>0</v>
      </c>
      <c r="AN21" s="208">
        <f t="shared" si="13"/>
        <v>0</v>
      </c>
      <c r="AO21" s="203">
        <f t="shared" si="14"/>
        <v>0</v>
      </c>
      <c r="AP21" s="203">
        <f t="shared" si="15"/>
        <v>0</v>
      </c>
      <c r="AQ21" s="208">
        <f t="shared" si="16"/>
        <v>0</v>
      </c>
      <c r="AR21" s="208">
        <f t="shared" si="17"/>
        <v>0</v>
      </c>
      <c r="AS21" s="208">
        <f t="shared" si="23"/>
        <v>0</v>
      </c>
      <c r="AT21" s="208">
        <f t="shared" si="23"/>
        <v>0</v>
      </c>
      <c r="AU21" s="187"/>
    </row>
    <row r="22" spans="1:48" ht="14.25" customHeight="1" x14ac:dyDescent="0.15">
      <c r="A22" s="187"/>
      <c r="B22" s="223">
        <v>18</v>
      </c>
      <c r="C22" s="284" t="s">
        <v>593</v>
      </c>
      <c r="D22" s="227"/>
      <c r="E22" s="187"/>
      <c r="F22" s="290"/>
      <c r="G22" s="298">
        <f t="shared" si="0"/>
        <v>0</v>
      </c>
      <c r="H22" s="167"/>
      <c r="I22" s="166"/>
      <c r="J22" s="39"/>
      <c r="K22" s="37"/>
      <c r="L22" s="37"/>
      <c r="M22" s="183">
        <v>1</v>
      </c>
      <c r="N22" s="292"/>
      <c r="O22" s="187">
        <v>17</v>
      </c>
      <c r="P22" s="303">
        <f t="shared" si="18"/>
        <v>0</v>
      </c>
      <c r="Q22" s="300">
        <f t="shared" si="18"/>
        <v>0</v>
      </c>
      <c r="R22" s="301">
        <f t="shared" si="18"/>
        <v>0</v>
      </c>
      <c r="S22" s="199">
        <f t="shared" si="18"/>
        <v>0</v>
      </c>
      <c r="T22" s="302">
        <f t="shared" si="18"/>
        <v>0</v>
      </c>
      <c r="U22" s="199">
        <f t="shared" si="19"/>
        <v>0</v>
      </c>
      <c r="V22" s="277">
        <f t="shared" si="1"/>
        <v>0</v>
      </c>
      <c r="W22" s="255">
        <f t="shared" si="2"/>
        <v>0</v>
      </c>
      <c r="X22" s="255">
        <f t="shared" si="3"/>
        <v>0</v>
      </c>
      <c r="Y22" s="278">
        <f t="shared" si="20"/>
        <v>0</v>
      </c>
      <c r="Z22" s="256">
        <f t="shared" si="4"/>
        <v>0</v>
      </c>
      <c r="AA22" s="187" t="str">
        <f t="shared" si="5"/>
        <v>ok</v>
      </c>
      <c r="AB22" s="38">
        <f t="shared" si="6"/>
        <v>0</v>
      </c>
      <c r="AC22" s="38">
        <f t="shared" si="21"/>
        <v>0</v>
      </c>
      <c r="AD22" s="38">
        <f t="shared" si="7"/>
        <v>0</v>
      </c>
      <c r="AE22" s="202">
        <f t="shared" si="8"/>
        <v>0</v>
      </c>
      <c r="AF22" s="203">
        <f t="shared" ref="AF22:AG42" si="25">IF(AM22&lt;11,ROUND(AM22,1),ROUND(AM22,0))</f>
        <v>0</v>
      </c>
      <c r="AG22" s="203">
        <f t="shared" si="25"/>
        <v>0</v>
      </c>
      <c r="AH22" s="204">
        <v>110</v>
      </c>
      <c r="AI22" s="205">
        <f t="shared" si="24"/>
        <v>0</v>
      </c>
      <c r="AJ22" s="206">
        <f t="shared" si="10"/>
        <v>0</v>
      </c>
      <c r="AK22" s="207">
        <f t="shared" si="11"/>
        <v>0</v>
      </c>
      <c r="AL22" s="205">
        <f t="shared" si="22"/>
        <v>0</v>
      </c>
      <c r="AM22" s="202">
        <f t="shared" si="12"/>
        <v>0</v>
      </c>
      <c r="AN22" s="208">
        <f t="shared" si="13"/>
        <v>0</v>
      </c>
      <c r="AO22" s="203">
        <f t="shared" si="14"/>
        <v>0</v>
      </c>
      <c r="AP22" s="203">
        <f t="shared" si="15"/>
        <v>0</v>
      </c>
      <c r="AQ22" s="208">
        <f t="shared" si="16"/>
        <v>0</v>
      </c>
      <c r="AR22" s="208">
        <f t="shared" si="17"/>
        <v>0</v>
      </c>
      <c r="AS22" s="208">
        <f t="shared" si="23"/>
        <v>0</v>
      </c>
      <c r="AT22" s="208">
        <f t="shared" si="23"/>
        <v>0</v>
      </c>
      <c r="AU22" s="187"/>
    </row>
    <row r="23" spans="1:48" ht="14.25" customHeight="1" x14ac:dyDescent="0.15">
      <c r="A23" s="187"/>
      <c r="B23" s="223">
        <v>19</v>
      </c>
      <c r="C23" s="284" t="s">
        <v>594</v>
      </c>
      <c r="D23" s="227"/>
      <c r="E23" s="187"/>
      <c r="F23" s="290"/>
      <c r="G23" s="298">
        <f t="shared" si="0"/>
        <v>0</v>
      </c>
      <c r="H23" s="167"/>
      <c r="I23" s="166"/>
      <c r="J23" s="39"/>
      <c r="K23" s="37"/>
      <c r="L23" s="37"/>
      <c r="M23" s="183">
        <v>1</v>
      </c>
      <c r="N23" s="292"/>
      <c r="O23" s="187">
        <v>18</v>
      </c>
      <c r="P23" s="303">
        <f t="shared" si="18"/>
        <v>0</v>
      </c>
      <c r="Q23" s="300">
        <f t="shared" si="18"/>
        <v>0</v>
      </c>
      <c r="R23" s="301">
        <f t="shared" si="18"/>
        <v>0</v>
      </c>
      <c r="S23" s="199">
        <f t="shared" si="18"/>
        <v>0</v>
      </c>
      <c r="T23" s="302">
        <f t="shared" si="18"/>
        <v>0</v>
      </c>
      <c r="U23" s="199">
        <f t="shared" si="19"/>
        <v>0</v>
      </c>
      <c r="V23" s="277">
        <f t="shared" si="1"/>
        <v>0</v>
      </c>
      <c r="W23" s="255">
        <f t="shared" si="2"/>
        <v>0</v>
      </c>
      <c r="X23" s="255">
        <f t="shared" si="3"/>
        <v>0</v>
      </c>
      <c r="Y23" s="278">
        <f t="shared" si="20"/>
        <v>0</v>
      </c>
      <c r="Z23" s="256">
        <f t="shared" si="4"/>
        <v>0</v>
      </c>
      <c r="AA23" s="187" t="str">
        <f t="shared" si="5"/>
        <v>ok</v>
      </c>
      <c r="AB23" s="38">
        <f t="shared" si="6"/>
        <v>0</v>
      </c>
      <c r="AC23" s="38">
        <f t="shared" si="21"/>
        <v>0</v>
      </c>
      <c r="AD23" s="38">
        <f t="shared" si="7"/>
        <v>0</v>
      </c>
      <c r="AE23" s="202">
        <f t="shared" si="8"/>
        <v>0</v>
      </c>
      <c r="AF23" s="203">
        <f t="shared" si="25"/>
        <v>0</v>
      </c>
      <c r="AG23" s="203">
        <f t="shared" si="25"/>
        <v>0</v>
      </c>
      <c r="AH23" s="204">
        <v>110</v>
      </c>
      <c r="AI23" s="205">
        <f t="shared" si="24"/>
        <v>0</v>
      </c>
      <c r="AJ23" s="206">
        <f t="shared" si="10"/>
        <v>0</v>
      </c>
      <c r="AK23" s="207">
        <f t="shared" si="11"/>
        <v>0</v>
      </c>
      <c r="AL23" s="205">
        <f t="shared" si="22"/>
        <v>0</v>
      </c>
      <c r="AM23" s="202">
        <f t="shared" si="12"/>
        <v>0</v>
      </c>
      <c r="AN23" s="208">
        <f t="shared" si="13"/>
        <v>0</v>
      </c>
      <c r="AO23" s="203">
        <f t="shared" si="14"/>
        <v>0</v>
      </c>
      <c r="AP23" s="203">
        <f t="shared" si="15"/>
        <v>0</v>
      </c>
      <c r="AQ23" s="208">
        <f t="shared" si="16"/>
        <v>0</v>
      </c>
      <c r="AR23" s="208">
        <f t="shared" si="17"/>
        <v>0</v>
      </c>
      <c r="AS23" s="208">
        <f t="shared" si="23"/>
        <v>0</v>
      </c>
      <c r="AT23" s="208">
        <f t="shared" si="23"/>
        <v>0</v>
      </c>
      <c r="AU23" s="209"/>
      <c r="AV23" s="210"/>
    </row>
    <row r="24" spans="1:48" ht="14.25" customHeight="1" x14ac:dyDescent="0.15">
      <c r="A24" s="187"/>
      <c r="B24" s="223">
        <v>20</v>
      </c>
      <c r="C24" s="284" t="s">
        <v>595</v>
      </c>
      <c r="D24" s="227"/>
      <c r="E24" s="187"/>
      <c r="F24" s="290"/>
      <c r="G24" s="298">
        <f t="shared" si="0"/>
        <v>0</v>
      </c>
      <c r="H24" s="167"/>
      <c r="I24" s="166"/>
      <c r="J24" s="39"/>
      <c r="K24" s="37"/>
      <c r="L24" s="37"/>
      <c r="M24" s="183">
        <v>1</v>
      </c>
      <c r="N24" s="292"/>
      <c r="O24" s="187">
        <v>19</v>
      </c>
      <c r="P24" s="303">
        <f t="shared" si="18"/>
        <v>0</v>
      </c>
      <c r="Q24" s="300">
        <f t="shared" si="18"/>
        <v>0</v>
      </c>
      <c r="R24" s="301">
        <f t="shared" si="18"/>
        <v>0</v>
      </c>
      <c r="S24" s="199">
        <f t="shared" si="18"/>
        <v>0</v>
      </c>
      <c r="T24" s="302">
        <f t="shared" si="18"/>
        <v>0</v>
      </c>
      <c r="U24" s="199">
        <f t="shared" si="19"/>
        <v>0</v>
      </c>
      <c r="V24" s="277">
        <f t="shared" si="1"/>
        <v>0</v>
      </c>
      <c r="W24" s="255">
        <f t="shared" si="2"/>
        <v>0</v>
      </c>
      <c r="X24" s="255">
        <f t="shared" si="3"/>
        <v>0</v>
      </c>
      <c r="Y24" s="278">
        <f t="shared" si="20"/>
        <v>0</v>
      </c>
      <c r="Z24" s="256">
        <f t="shared" si="4"/>
        <v>0</v>
      </c>
      <c r="AA24" s="187" t="str">
        <f t="shared" si="5"/>
        <v>ok</v>
      </c>
      <c r="AB24" s="38">
        <f t="shared" si="6"/>
        <v>0</v>
      </c>
      <c r="AC24" s="38">
        <f t="shared" si="21"/>
        <v>0</v>
      </c>
      <c r="AD24" s="38">
        <f t="shared" si="7"/>
        <v>0</v>
      </c>
      <c r="AE24" s="202">
        <f t="shared" si="8"/>
        <v>0</v>
      </c>
      <c r="AF24" s="203">
        <f t="shared" si="25"/>
        <v>0</v>
      </c>
      <c r="AG24" s="203">
        <f t="shared" si="25"/>
        <v>0</v>
      </c>
      <c r="AH24" s="204">
        <v>110</v>
      </c>
      <c r="AI24" s="205">
        <f t="shared" si="24"/>
        <v>0</v>
      </c>
      <c r="AJ24" s="206">
        <f t="shared" si="10"/>
        <v>0</v>
      </c>
      <c r="AK24" s="207">
        <f t="shared" si="11"/>
        <v>0</v>
      </c>
      <c r="AL24" s="205">
        <f t="shared" si="22"/>
        <v>0</v>
      </c>
      <c r="AM24" s="202">
        <f t="shared" si="12"/>
        <v>0</v>
      </c>
      <c r="AN24" s="208">
        <f t="shared" si="13"/>
        <v>0</v>
      </c>
      <c r="AO24" s="203">
        <f t="shared" si="14"/>
        <v>0</v>
      </c>
      <c r="AP24" s="203">
        <f t="shared" si="15"/>
        <v>0</v>
      </c>
      <c r="AQ24" s="208">
        <f t="shared" si="16"/>
        <v>0</v>
      </c>
      <c r="AR24" s="208">
        <f t="shared" si="17"/>
        <v>0</v>
      </c>
      <c r="AS24" s="208">
        <f t="shared" si="23"/>
        <v>0</v>
      </c>
      <c r="AT24" s="208">
        <f t="shared" si="23"/>
        <v>0</v>
      </c>
      <c r="AU24" s="187"/>
    </row>
    <row r="25" spans="1:48" ht="14.25" customHeight="1" x14ac:dyDescent="0.15">
      <c r="A25" s="187"/>
      <c r="B25" s="223">
        <v>21</v>
      </c>
      <c r="C25" s="284" t="s">
        <v>596</v>
      </c>
      <c r="D25" s="227"/>
      <c r="E25" s="187"/>
      <c r="F25" s="290"/>
      <c r="G25" s="298">
        <f t="shared" si="0"/>
        <v>0</v>
      </c>
      <c r="H25" s="167"/>
      <c r="I25" s="166"/>
      <c r="J25" s="39"/>
      <c r="K25" s="37"/>
      <c r="L25" s="37"/>
      <c r="M25" s="183">
        <v>1</v>
      </c>
      <c r="N25" s="292"/>
      <c r="O25" s="187">
        <v>20</v>
      </c>
      <c r="P25" s="303">
        <f t="shared" si="18"/>
        <v>0</v>
      </c>
      <c r="Q25" s="300">
        <f t="shared" si="18"/>
        <v>0</v>
      </c>
      <c r="R25" s="301">
        <f t="shared" si="18"/>
        <v>0</v>
      </c>
      <c r="S25" s="199">
        <f t="shared" si="18"/>
        <v>0</v>
      </c>
      <c r="T25" s="302">
        <f t="shared" si="18"/>
        <v>0</v>
      </c>
      <c r="U25" s="199">
        <f t="shared" si="19"/>
        <v>0</v>
      </c>
      <c r="V25" s="277">
        <f t="shared" si="1"/>
        <v>0</v>
      </c>
      <c r="W25" s="255">
        <f t="shared" si="2"/>
        <v>0</v>
      </c>
      <c r="X25" s="255">
        <f t="shared" si="3"/>
        <v>0</v>
      </c>
      <c r="Y25" s="278">
        <f t="shared" si="20"/>
        <v>0</v>
      </c>
      <c r="Z25" s="256">
        <f t="shared" si="4"/>
        <v>0</v>
      </c>
      <c r="AA25" s="187" t="str">
        <f t="shared" si="5"/>
        <v>ok</v>
      </c>
      <c r="AB25" s="38">
        <f t="shared" si="6"/>
        <v>0</v>
      </c>
      <c r="AC25" s="38">
        <f t="shared" si="21"/>
        <v>0</v>
      </c>
      <c r="AD25" s="38">
        <f t="shared" si="7"/>
        <v>0</v>
      </c>
      <c r="AE25" s="202">
        <f t="shared" si="8"/>
        <v>0</v>
      </c>
      <c r="AF25" s="203">
        <f t="shared" si="25"/>
        <v>0</v>
      </c>
      <c r="AG25" s="203">
        <f t="shared" si="25"/>
        <v>0</v>
      </c>
      <c r="AH25" s="204">
        <v>110</v>
      </c>
      <c r="AI25" s="205">
        <f t="shared" si="24"/>
        <v>0</v>
      </c>
      <c r="AJ25" s="206">
        <f t="shared" si="10"/>
        <v>0</v>
      </c>
      <c r="AK25" s="207">
        <f t="shared" si="11"/>
        <v>0</v>
      </c>
      <c r="AL25" s="205">
        <f t="shared" si="22"/>
        <v>0</v>
      </c>
      <c r="AM25" s="202">
        <f t="shared" si="12"/>
        <v>0</v>
      </c>
      <c r="AN25" s="208">
        <f t="shared" si="13"/>
        <v>0</v>
      </c>
      <c r="AO25" s="203">
        <f t="shared" si="14"/>
        <v>0</v>
      </c>
      <c r="AP25" s="203">
        <f t="shared" si="15"/>
        <v>0</v>
      </c>
      <c r="AQ25" s="208">
        <f t="shared" si="16"/>
        <v>0</v>
      </c>
      <c r="AR25" s="208">
        <f t="shared" si="17"/>
        <v>0</v>
      </c>
      <c r="AS25" s="208">
        <f t="shared" si="23"/>
        <v>0</v>
      </c>
      <c r="AT25" s="208">
        <f t="shared" si="23"/>
        <v>0</v>
      </c>
      <c r="AU25" s="187"/>
    </row>
    <row r="26" spans="1:48" ht="14.25" customHeight="1" x14ac:dyDescent="0.15">
      <c r="A26" s="187"/>
      <c r="B26" s="223">
        <v>22</v>
      </c>
      <c r="C26" s="284" t="s">
        <v>597</v>
      </c>
      <c r="D26" s="227"/>
      <c r="E26" s="187"/>
      <c r="F26" s="290"/>
      <c r="G26" s="298">
        <f t="shared" si="0"/>
        <v>0</v>
      </c>
      <c r="H26" s="167"/>
      <c r="I26" s="166"/>
      <c r="J26" s="39"/>
      <c r="K26" s="37"/>
      <c r="L26" s="37"/>
      <c r="M26" s="183">
        <v>1</v>
      </c>
      <c r="N26" s="292"/>
      <c r="O26" s="187">
        <v>21</v>
      </c>
      <c r="P26" s="303">
        <f t="shared" si="18"/>
        <v>0</v>
      </c>
      <c r="Q26" s="300">
        <f t="shared" si="18"/>
        <v>0</v>
      </c>
      <c r="R26" s="301">
        <f t="shared" si="18"/>
        <v>0</v>
      </c>
      <c r="S26" s="199">
        <f t="shared" si="18"/>
        <v>0</v>
      </c>
      <c r="T26" s="302">
        <f t="shared" si="18"/>
        <v>0</v>
      </c>
      <c r="U26" s="199">
        <f t="shared" si="19"/>
        <v>0</v>
      </c>
      <c r="V26" s="277">
        <f t="shared" si="1"/>
        <v>0</v>
      </c>
      <c r="W26" s="255">
        <f t="shared" si="2"/>
        <v>0</v>
      </c>
      <c r="X26" s="255">
        <f t="shared" si="3"/>
        <v>0</v>
      </c>
      <c r="Y26" s="278">
        <f t="shared" si="20"/>
        <v>0</v>
      </c>
      <c r="Z26" s="256">
        <f t="shared" si="4"/>
        <v>0</v>
      </c>
      <c r="AA26" s="187" t="str">
        <f t="shared" si="5"/>
        <v>ok</v>
      </c>
      <c r="AB26" s="38">
        <f t="shared" si="6"/>
        <v>0</v>
      </c>
      <c r="AC26" s="38">
        <f t="shared" si="21"/>
        <v>0</v>
      </c>
      <c r="AD26" s="38">
        <f t="shared" si="7"/>
        <v>0</v>
      </c>
      <c r="AE26" s="202">
        <f t="shared" si="8"/>
        <v>0</v>
      </c>
      <c r="AF26" s="203">
        <f t="shared" si="25"/>
        <v>0</v>
      </c>
      <c r="AG26" s="203">
        <f t="shared" si="25"/>
        <v>0</v>
      </c>
      <c r="AH26" s="204">
        <v>110</v>
      </c>
      <c r="AI26" s="205">
        <f t="shared" si="24"/>
        <v>0</v>
      </c>
      <c r="AJ26" s="206">
        <f t="shared" si="10"/>
        <v>0</v>
      </c>
      <c r="AK26" s="207">
        <f t="shared" si="11"/>
        <v>0</v>
      </c>
      <c r="AL26" s="205">
        <f t="shared" si="22"/>
        <v>0</v>
      </c>
      <c r="AM26" s="202">
        <f t="shared" si="12"/>
        <v>0</v>
      </c>
      <c r="AN26" s="208">
        <f t="shared" si="13"/>
        <v>0</v>
      </c>
      <c r="AO26" s="203">
        <f t="shared" si="14"/>
        <v>0</v>
      </c>
      <c r="AP26" s="203">
        <f t="shared" si="15"/>
        <v>0</v>
      </c>
      <c r="AQ26" s="208">
        <f t="shared" si="16"/>
        <v>0</v>
      </c>
      <c r="AR26" s="208">
        <f t="shared" si="17"/>
        <v>0</v>
      </c>
      <c r="AS26" s="208">
        <f t="shared" si="23"/>
        <v>0</v>
      </c>
      <c r="AT26" s="208">
        <f t="shared" si="23"/>
        <v>0</v>
      </c>
      <c r="AU26" s="187"/>
    </row>
    <row r="27" spans="1:48" ht="14.25" customHeight="1" x14ac:dyDescent="0.15">
      <c r="A27" s="187"/>
      <c r="B27" s="223">
        <v>23</v>
      </c>
      <c r="C27" s="284" t="s">
        <v>598</v>
      </c>
      <c r="D27" s="227"/>
      <c r="E27" s="187"/>
      <c r="F27" s="290"/>
      <c r="G27" s="298">
        <f t="shared" si="0"/>
        <v>0</v>
      </c>
      <c r="H27" s="167"/>
      <c r="I27" s="166"/>
      <c r="J27" s="39"/>
      <c r="K27" s="37"/>
      <c r="L27" s="37"/>
      <c r="M27" s="183">
        <v>1</v>
      </c>
      <c r="N27" s="292"/>
      <c r="O27" s="187">
        <v>22</v>
      </c>
      <c r="P27" s="303">
        <f t="shared" si="18"/>
        <v>0</v>
      </c>
      <c r="Q27" s="300">
        <f t="shared" si="18"/>
        <v>0</v>
      </c>
      <c r="R27" s="301">
        <f t="shared" si="18"/>
        <v>0</v>
      </c>
      <c r="S27" s="199">
        <f t="shared" si="18"/>
        <v>0</v>
      </c>
      <c r="T27" s="302">
        <f t="shared" si="18"/>
        <v>0</v>
      </c>
      <c r="U27" s="199">
        <f t="shared" si="19"/>
        <v>0</v>
      </c>
      <c r="V27" s="277">
        <f t="shared" si="1"/>
        <v>0</v>
      </c>
      <c r="W27" s="255">
        <f t="shared" si="2"/>
        <v>0</v>
      </c>
      <c r="X27" s="255">
        <f t="shared" si="3"/>
        <v>0</v>
      </c>
      <c r="Y27" s="278">
        <f t="shared" si="20"/>
        <v>0</v>
      </c>
      <c r="Z27" s="256">
        <f t="shared" si="4"/>
        <v>0</v>
      </c>
      <c r="AA27" s="187" t="str">
        <f t="shared" si="5"/>
        <v>ok</v>
      </c>
      <c r="AB27" s="38">
        <f t="shared" si="6"/>
        <v>0</v>
      </c>
      <c r="AC27" s="38">
        <f t="shared" si="21"/>
        <v>0</v>
      </c>
      <c r="AD27" s="38">
        <f t="shared" si="7"/>
        <v>0</v>
      </c>
      <c r="AE27" s="202">
        <f t="shared" si="8"/>
        <v>0</v>
      </c>
      <c r="AF27" s="203">
        <f t="shared" si="25"/>
        <v>0</v>
      </c>
      <c r="AG27" s="203">
        <f t="shared" si="25"/>
        <v>0</v>
      </c>
      <c r="AH27" s="204">
        <v>110</v>
      </c>
      <c r="AI27" s="205">
        <f t="shared" si="24"/>
        <v>0</v>
      </c>
      <c r="AJ27" s="206">
        <f t="shared" si="10"/>
        <v>0</v>
      </c>
      <c r="AK27" s="207">
        <f t="shared" si="11"/>
        <v>0</v>
      </c>
      <c r="AL27" s="205">
        <f t="shared" si="22"/>
        <v>0</v>
      </c>
      <c r="AM27" s="202">
        <f t="shared" si="12"/>
        <v>0</v>
      </c>
      <c r="AN27" s="208">
        <f t="shared" si="13"/>
        <v>0</v>
      </c>
      <c r="AO27" s="203">
        <f t="shared" si="14"/>
        <v>0</v>
      </c>
      <c r="AP27" s="203">
        <f t="shared" si="15"/>
        <v>0</v>
      </c>
      <c r="AQ27" s="208">
        <f t="shared" si="16"/>
        <v>0</v>
      </c>
      <c r="AR27" s="208">
        <f t="shared" si="17"/>
        <v>0</v>
      </c>
      <c r="AS27" s="208">
        <f t="shared" si="23"/>
        <v>0</v>
      </c>
      <c r="AT27" s="208">
        <f t="shared" si="23"/>
        <v>0</v>
      </c>
      <c r="AU27" s="187"/>
    </row>
    <row r="28" spans="1:48" ht="14.25" customHeight="1" x14ac:dyDescent="0.15">
      <c r="A28" s="187"/>
      <c r="B28" s="223">
        <v>24</v>
      </c>
      <c r="C28" s="284" t="s">
        <v>599</v>
      </c>
      <c r="D28" s="227"/>
      <c r="E28" s="187"/>
      <c r="F28" s="290"/>
      <c r="G28" s="298">
        <f t="shared" si="0"/>
        <v>0</v>
      </c>
      <c r="H28" s="167"/>
      <c r="I28" s="166"/>
      <c r="J28" s="39"/>
      <c r="K28" s="37"/>
      <c r="L28" s="37"/>
      <c r="M28" s="183">
        <v>1</v>
      </c>
      <c r="N28" s="292"/>
      <c r="O28" s="187">
        <v>23</v>
      </c>
      <c r="P28" s="303">
        <f t="shared" si="18"/>
        <v>0</v>
      </c>
      <c r="Q28" s="300">
        <f t="shared" si="18"/>
        <v>0</v>
      </c>
      <c r="R28" s="301">
        <f t="shared" si="18"/>
        <v>0</v>
      </c>
      <c r="S28" s="199">
        <f t="shared" si="18"/>
        <v>0</v>
      </c>
      <c r="T28" s="302">
        <f t="shared" si="18"/>
        <v>0</v>
      </c>
      <c r="U28" s="199">
        <f t="shared" si="19"/>
        <v>0</v>
      </c>
      <c r="V28" s="277">
        <f t="shared" si="1"/>
        <v>0</v>
      </c>
      <c r="W28" s="255">
        <f t="shared" si="2"/>
        <v>0</v>
      </c>
      <c r="X28" s="255">
        <f t="shared" si="3"/>
        <v>0</v>
      </c>
      <c r="Y28" s="278">
        <f t="shared" si="20"/>
        <v>0</v>
      </c>
      <c r="Z28" s="256">
        <f t="shared" si="4"/>
        <v>0</v>
      </c>
      <c r="AA28" s="187" t="str">
        <f t="shared" si="5"/>
        <v>ok</v>
      </c>
      <c r="AB28" s="38">
        <f t="shared" si="6"/>
        <v>0</v>
      </c>
      <c r="AC28" s="38">
        <f t="shared" si="21"/>
        <v>0</v>
      </c>
      <c r="AD28" s="38">
        <f t="shared" si="7"/>
        <v>0</v>
      </c>
      <c r="AE28" s="202">
        <f t="shared" si="8"/>
        <v>0</v>
      </c>
      <c r="AF28" s="203">
        <f t="shared" si="25"/>
        <v>0</v>
      </c>
      <c r="AG28" s="203">
        <f t="shared" si="25"/>
        <v>0</v>
      </c>
      <c r="AH28" s="204">
        <v>110</v>
      </c>
      <c r="AI28" s="205">
        <f t="shared" si="24"/>
        <v>0</v>
      </c>
      <c r="AJ28" s="206">
        <f t="shared" si="10"/>
        <v>0</v>
      </c>
      <c r="AK28" s="207">
        <f t="shared" si="11"/>
        <v>0</v>
      </c>
      <c r="AL28" s="205">
        <f t="shared" si="22"/>
        <v>0</v>
      </c>
      <c r="AM28" s="202">
        <f t="shared" si="12"/>
        <v>0</v>
      </c>
      <c r="AN28" s="208">
        <f t="shared" si="13"/>
        <v>0</v>
      </c>
      <c r="AO28" s="203">
        <f t="shared" si="14"/>
        <v>0</v>
      </c>
      <c r="AP28" s="203">
        <f t="shared" si="15"/>
        <v>0</v>
      </c>
      <c r="AQ28" s="208">
        <f t="shared" si="16"/>
        <v>0</v>
      </c>
      <c r="AR28" s="208">
        <f t="shared" si="17"/>
        <v>0</v>
      </c>
      <c r="AS28" s="208">
        <f t="shared" si="23"/>
        <v>0</v>
      </c>
      <c r="AT28" s="208">
        <f t="shared" si="23"/>
        <v>0</v>
      </c>
      <c r="AU28" s="187"/>
    </row>
    <row r="29" spans="1:48" ht="14.25" customHeight="1" x14ac:dyDescent="0.15">
      <c r="A29" s="187"/>
      <c r="B29" s="223">
        <v>25</v>
      </c>
      <c r="C29" s="284" t="s">
        <v>600</v>
      </c>
      <c r="D29" s="227"/>
      <c r="E29" s="187"/>
      <c r="F29" s="290"/>
      <c r="G29" s="298">
        <f t="shared" si="0"/>
        <v>0</v>
      </c>
      <c r="H29" s="167"/>
      <c r="I29" s="166"/>
      <c r="J29" s="39"/>
      <c r="K29" s="37"/>
      <c r="L29" s="37"/>
      <c r="M29" s="183">
        <v>1</v>
      </c>
      <c r="N29" s="292"/>
      <c r="O29" s="187">
        <v>24</v>
      </c>
      <c r="P29" s="303">
        <f t="shared" si="18"/>
        <v>0</v>
      </c>
      <c r="Q29" s="300">
        <f t="shared" si="18"/>
        <v>0</v>
      </c>
      <c r="R29" s="301">
        <f t="shared" si="18"/>
        <v>0</v>
      </c>
      <c r="S29" s="199">
        <f t="shared" si="18"/>
        <v>0</v>
      </c>
      <c r="T29" s="302">
        <f t="shared" si="18"/>
        <v>0</v>
      </c>
      <c r="U29" s="199">
        <f t="shared" si="19"/>
        <v>0</v>
      </c>
      <c r="V29" s="277">
        <f t="shared" si="1"/>
        <v>0</v>
      </c>
      <c r="W29" s="255">
        <f t="shared" si="2"/>
        <v>0</v>
      </c>
      <c r="X29" s="255">
        <f t="shared" si="3"/>
        <v>0</v>
      </c>
      <c r="Y29" s="278">
        <f t="shared" si="20"/>
        <v>0</v>
      </c>
      <c r="Z29" s="256">
        <f t="shared" si="4"/>
        <v>0</v>
      </c>
      <c r="AA29" s="187" t="str">
        <f t="shared" si="5"/>
        <v>ok</v>
      </c>
      <c r="AB29" s="38">
        <f t="shared" si="6"/>
        <v>0</v>
      </c>
      <c r="AC29" s="38">
        <f t="shared" si="21"/>
        <v>0</v>
      </c>
      <c r="AD29" s="38">
        <f t="shared" si="7"/>
        <v>0</v>
      </c>
      <c r="AE29" s="202">
        <f t="shared" si="8"/>
        <v>0</v>
      </c>
      <c r="AF29" s="203">
        <f t="shared" si="25"/>
        <v>0</v>
      </c>
      <c r="AG29" s="203">
        <f t="shared" si="25"/>
        <v>0</v>
      </c>
      <c r="AH29" s="204">
        <v>110</v>
      </c>
      <c r="AI29" s="205">
        <f t="shared" si="24"/>
        <v>0</v>
      </c>
      <c r="AJ29" s="206">
        <f t="shared" si="10"/>
        <v>0</v>
      </c>
      <c r="AK29" s="207">
        <f t="shared" si="11"/>
        <v>0</v>
      </c>
      <c r="AL29" s="205">
        <f t="shared" si="22"/>
        <v>0</v>
      </c>
      <c r="AM29" s="202">
        <f t="shared" si="12"/>
        <v>0</v>
      </c>
      <c r="AN29" s="208">
        <f t="shared" si="13"/>
        <v>0</v>
      </c>
      <c r="AO29" s="203">
        <f t="shared" si="14"/>
        <v>0</v>
      </c>
      <c r="AP29" s="203">
        <f t="shared" si="15"/>
        <v>0</v>
      </c>
      <c r="AQ29" s="208">
        <f t="shared" si="16"/>
        <v>0</v>
      </c>
      <c r="AR29" s="208">
        <f t="shared" si="17"/>
        <v>0</v>
      </c>
      <c r="AS29" s="208">
        <f t="shared" si="23"/>
        <v>0</v>
      </c>
      <c r="AT29" s="208">
        <f t="shared" si="23"/>
        <v>0</v>
      </c>
      <c r="AU29" s="187"/>
    </row>
    <row r="30" spans="1:48" ht="14.25" customHeight="1" x14ac:dyDescent="0.15">
      <c r="A30" s="187"/>
      <c r="B30" s="223">
        <v>26</v>
      </c>
      <c r="C30" s="284" t="s">
        <v>601</v>
      </c>
      <c r="D30" s="227"/>
      <c r="E30" s="187"/>
      <c r="F30" s="290"/>
      <c r="G30" s="298">
        <f t="shared" si="0"/>
        <v>0</v>
      </c>
      <c r="H30" s="167"/>
      <c r="I30" s="166"/>
      <c r="J30" s="39"/>
      <c r="K30" s="37"/>
      <c r="L30" s="37"/>
      <c r="M30" s="183">
        <v>1</v>
      </c>
      <c r="N30" s="292"/>
      <c r="O30" s="187">
        <v>25</v>
      </c>
      <c r="P30" s="303">
        <f t="shared" si="18"/>
        <v>0</v>
      </c>
      <c r="Q30" s="300">
        <f t="shared" si="18"/>
        <v>0</v>
      </c>
      <c r="R30" s="301">
        <f t="shared" si="18"/>
        <v>0</v>
      </c>
      <c r="S30" s="199">
        <f t="shared" si="18"/>
        <v>0</v>
      </c>
      <c r="T30" s="302">
        <f t="shared" si="18"/>
        <v>0</v>
      </c>
      <c r="U30" s="199">
        <f t="shared" si="19"/>
        <v>0</v>
      </c>
      <c r="V30" s="277">
        <f t="shared" si="1"/>
        <v>0</v>
      </c>
      <c r="W30" s="255">
        <f t="shared" si="2"/>
        <v>0</v>
      </c>
      <c r="X30" s="255">
        <f t="shared" si="3"/>
        <v>0</v>
      </c>
      <c r="Y30" s="278">
        <f t="shared" si="20"/>
        <v>0</v>
      </c>
      <c r="Z30" s="256">
        <f t="shared" si="4"/>
        <v>0</v>
      </c>
      <c r="AA30" s="187" t="str">
        <f t="shared" si="5"/>
        <v>ok</v>
      </c>
      <c r="AB30" s="38">
        <f t="shared" si="6"/>
        <v>0</v>
      </c>
      <c r="AC30" s="38">
        <f t="shared" si="21"/>
        <v>0</v>
      </c>
      <c r="AD30" s="38">
        <f t="shared" si="7"/>
        <v>0</v>
      </c>
      <c r="AE30" s="202">
        <f t="shared" si="8"/>
        <v>0</v>
      </c>
      <c r="AF30" s="203">
        <f t="shared" si="25"/>
        <v>0</v>
      </c>
      <c r="AG30" s="203">
        <f t="shared" si="25"/>
        <v>0</v>
      </c>
      <c r="AH30" s="204">
        <v>110</v>
      </c>
      <c r="AI30" s="205">
        <f t="shared" si="24"/>
        <v>0</v>
      </c>
      <c r="AJ30" s="206">
        <f t="shared" si="10"/>
        <v>0</v>
      </c>
      <c r="AK30" s="207">
        <f t="shared" si="11"/>
        <v>0</v>
      </c>
      <c r="AL30" s="205">
        <f t="shared" si="22"/>
        <v>0</v>
      </c>
      <c r="AM30" s="202">
        <f t="shared" si="12"/>
        <v>0</v>
      </c>
      <c r="AN30" s="208">
        <f t="shared" si="13"/>
        <v>0</v>
      </c>
      <c r="AO30" s="203">
        <f t="shared" si="14"/>
        <v>0</v>
      </c>
      <c r="AP30" s="203">
        <f t="shared" si="15"/>
        <v>0</v>
      </c>
      <c r="AQ30" s="208">
        <f t="shared" si="16"/>
        <v>0</v>
      </c>
      <c r="AR30" s="208">
        <f t="shared" si="17"/>
        <v>0</v>
      </c>
      <c r="AS30" s="208">
        <f t="shared" si="23"/>
        <v>0</v>
      </c>
      <c r="AT30" s="208">
        <f t="shared" si="23"/>
        <v>0</v>
      </c>
      <c r="AU30" s="187"/>
    </row>
    <row r="31" spans="1:48" ht="14.25" customHeight="1" x14ac:dyDescent="0.15">
      <c r="A31" s="187"/>
      <c r="B31" s="223">
        <v>27</v>
      </c>
      <c r="C31" s="284" t="s">
        <v>602</v>
      </c>
      <c r="D31" s="227"/>
      <c r="E31" s="187"/>
      <c r="F31" s="290"/>
      <c r="G31" s="298">
        <f t="shared" si="0"/>
        <v>0</v>
      </c>
      <c r="H31" s="167"/>
      <c r="I31" s="166"/>
      <c r="J31" s="39"/>
      <c r="K31" s="37"/>
      <c r="L31" s="37"/>
      <c r="M31" s="183">
        <v>1</v>
      </c>
      <c r="N31" s="292"/>
      <c r="O31" s="187">
        <v>26</v>
      </c>
      <c r="P31" s="303">
        <f t="shared" si="18"/>
        <v>0</v>
      </c>
      <c r="Q31" s="300">
        <f t="shared" si="18"/>
        <v>0</v>
      </c>
      <c r="R31" s="301">
        <f t="shared" si="18"/>
        <v>0</v>
      </c>
      <c r="S31" s="199">
        <f t="shared" si="18"/>
        <v>0</v>
      </c>
      <c r="T31" s="302">
        <f t="shared" si="18"/>
        <v>0</v>
      </c>
      <c r="U31" s="199">
        <f t="shared" si="19"/>
        <v>0</v>
      </c>
      <c r="V31" s="277">
        <f t="shared" si="1"/>
        <v>0</v>
      </c>
      <c r="W31" s="255">
        <f t="shared" si="2"/>
        <v>0</v>
      </c>
      <c r="X31" s="255">
        <f t="shared" si="3"/>
        <v>0</v>
      </c>
      <c r="Y31" s="278">
        <f t="shared" si="20"/>
        <v>0</v>
      </c>
      <c r="Z31" s="256">
        <f t="shared" si="4"/>
        <v>0</v>
      </c>
      <c r="AA31" s="187" t="str">
        <f t="shared" si="5"/>
        <v>ok</v>
      </c>
      <c r="AB31" s="38">
        <f t="shared" si="6"/>
        <v>0</v>
      </c>
      <c r="AC31" s="38">
        <f t="shared" si="21"/>
        <v>0</v>
      </c>
      <c r="AD31" s="38">
        <f t="shared" si="7"/>
        <v>0</v>
      </c>
      <c r="AE31" s="202">
        <f t="shared" si="8"/>
        <v>0</v>
      </c>
      <c r="AF31" s="203">
        <f t="shared" si="25"/>
        <v>0</v>
      </c>
      <c r="AG31" s="203">
        <f t="shared" si="25"/>
        <v>0</v>
      </c>
      <c r="AH31" s="204">
        <v>110</v>
      </c>
      <c r="AI31" s="205">
        <f t="shared" si="24"/>
        <v>0</v>
      </c>
      <c r="AJ31" s="206">
        <f t="shared" si="10"/>
        <v>0</v>
      </c>
      <c r="AK31" s="207">
        <f t="shared" si="11"/>
        <v>0</v>
      </c>
      <c r="AL31" s="205">
        <f t="shared" si="22"/>
        <v>0</v>
      </c>
      <c r="AM31" s="202">
        <f t="shared" si="12"/>
        <v>0</v>
      </c>
      <c r="AN31" s="208">
        <f t="shared" si="13"/>
        <v>0</v>
      </c>
      <c r="AO31" s="203">
        <f t="shared" si="14"/>
        <v>0</v>
      </c>
      <c r="AP31" s="203">
        <f t="shared" si="15"/>
        <v>0</v>
      </c>
      <c r="AQ31" s="208">
        <f t="shared" si="16"/>
        <v>0</v>
      </c>
      <c r="AR31" s="208">
        <f t="shared" si="17"/>
        <v>0</v>
      </c>
      <c r="AS31" s="208">
        <f t="shared" si="23"/>
        <v>0</v>
      </c>
      <c r="AT31" s="208">
        <f t="shared" si="23"/>
        <v>0</v>
      </c>
      <c r="AU31" s="187"/>
    </row>
    <row r="32" spans="1:48" ht="14.25" customHeight="1" x14ac:dyDescent="0.15">
      <c r="A32" s="187"/>
      <c r="B32" s="223">
        <v>28</v>
      </c>
      <c r="C32" s="284" t="s">
        <v>603</v>
      </c>
      <c r="D32" s="227"/>
      <c r="E32" s="187"/>
      <c r="F32" s="290"/>
      <c r="G32" s="298">
        <f t="shared" si="0"/>
        <v>0</v>
      </c>
      <c r="H32" s="167"/>
      <c r="I32" s="166"/>
      <c r="J32" s="39"/>
      <c r="K32" s="37"/>
      <c r="L32" s="37"/>
      <c r="M32" s="183">
        <v>1</v>
      </c>
      <c r="N32" s="292"/>
      <c r="O32" s="187">
        <v>27</v>
      </c>
      <c r="P32" s="303">
        <f t="shared" si="18"/>
        <v>0</v>
      </c>
      <c r="Q32" s="300">
        <f t="shared" si="18"/>
        <v>0</v>
      </c>
      <c r="R32" s="301">
        <f t="shared" si="18"/>
        <v>0</v>
      </c>
      <c r="S32" s="199">
        <f t="shared" si="18"/>
        <v>0</v>
      </c>
      <c r="T32" s="302">
        <f t="shared" si="18"/>
        <v>0</v>
      </c>
      <c r="U32" s="199">
        <f t="shared" si="19"/>
        <v>0</v>
      </c>
      <c r="V32" s="277">
        <f t="shared" si="1"/>
        <v>0</v>
      </c>
      <c r="W32" s="255">
        <f t="shared" si="2"/>
        <v>0</v>
      </c>
      <c r="X32" s="255">
        <f t="shared" si="3"/>
        <v>0</v>
      </c>
      <c r="Y32" s="278">
        <f t="shared" si="20"/>
        <v>0</v>
      </c>
      <c r="Z32" s="256">
        <f t="shared" si="4"/>
        <v>0</v>
      </c>
      <c r="AA32" s="187" t="str">
        <f t="shared" si="5"/>
        <v>ok</v>
      </c>
      <c r="AB32" s="38">
        <f t="shared" si="6"/>
        <v>0</v>
      </c>
      <c r="AC32" s="38">
        <f t="shared" si="21"/>
        <v>0</v>
      </c>
      <c r="AD32" s="38">
        <f t="shared" si="7"/>
        <v>0</v>
      </c>
      <c r="AE32" s="202">
        <f t="shared" si="8"/>
        <v>0</v>
      </c>
      <c r="AF32" s="203">
        <f t="shared" si="25"/>
        <v>0</v>
      </c>
      <c r="AG32" s="203">
        <f t="shared" si="25"/>
        <v>0</v>
      </c>
      <c r="AH32" s="204">
        <v>110</v>
      </c>
      <c r="AI32" s="205">
        <f t="shared" si="24"/>
        <v>0</v>
      </c>
      <c r="AJ32" s="206">
        <f t="shared" si="10"/>
        <v>0</v>
      </c>
      <c r="AK32" s="207">
        <f t="shared" si="11"/>
        <v>0</v>
      </c>
      <c r="AL32" s="205">
        <f t="shared" si="22"/>
        <v>0</v>
      </c>
      <c r="AM32" s="202">
        <f t="shared" si="12"/>
        <v>0</v>
      </c>
      <c r="AN32" s="208">
        <f t="shared" si="13"/>
        <v>0</v>
      </c>
      <c r="AO32" s="203">
        <f t="shared" si="14"/>
        <v>0</v>
      </c>
      <c r="AP32" s="203">
        <f t="shared" si="15"/>
        <v>0</v>
      </c>
      <c r="AQ32" s="208">
        <f t="shared" si="16"/>
        <v>0</v>
      </c>
      <c r="AR32" s="208">
        <f t="shared" si="17"/>
        <v>0</v>
      </c>
      <c r="AS32" s="208">
        <f t="shared" si="23"/>
        <v>0</v>
      </c>
      <c r="AT32" s="208">
        <f t="shared" si="23"/>
        <v>0</v>
      </c>
      <c r="AU32" s="187"/>
    </row>
    <row r="33" spans="1:50" ht="14.25" customHeight="1" x14ac:dyDescent="0.15">
      <c r="A33" s="187"/>
      <c r="B33" s="223">
        <v>29</v>
      </c>
      <c r="C33" s="284" t="s">
        <v>604</v>
      </c>
      <c r="D33" s="227"/>
      <c r="E33" s="187"/>
      <c r="F33" s="290"/>
      <c r="G33" s="298">
        <f t="shared" si="0"/>
        <v>0</v>
      </c>
      <c r="H33" s="167"/>
      <c r="I33" s="166"/>
      <c r="J33" s="39"/>
      <c r="K33" s="37"/>
      <c r="L33" s="37"/>
      <c r="M33" s="183">
        <v>1</v>
      </c>
      <c r="N33" s="292"/>
      <c r="O33" s="187">
        <v>28</v>
      </c>
      <c r="P33" s="303">
        <f t="shared" si="18"/>
        <v>0</v>
      </c>
      <c r="Q33" s="300">
        <f t="shared" si="18"/>
        <v>0</v>
      </c>
      <c r="R33" s="301">
        <f t="shared" si="18"/>
        <v>0</v>
      </c>
      <c r="S33" s="199">
        <f t="shared" si="18"/>
        <v>0</v>
      </c>
      <c r="T33" s="302">
        <f t="shared" si="18"/>
        <v>0</v>
      </c>
      <c r="U33" s="199">
        <f t="shared" si="19"/>
        <v>0</v>
      </c>
      <c r="V33" s="277">
        <f t="shared" si="1"/>
        <v>0</v>
      </c>
      <c r="W33" s="255">
        <f t="shared" si="2"/>
        <v>0</v>
      </c>
      <c r="X33" s="255">
        <f t="shared" si="3"/>
        <v>0</v>
      </c>
      <c r="Y33" s="278">
        <f t="shared" si="20"/>
        <v>0</v>
      </c>
      <c r="Z33" s="256">
        <f t="shared" si="4"/>
        <v>0</v>
      </c>
      <c r="AA33" s="187" t="str">
        <f t="shared" si="5"/>
        <v>ok</v>
      </c>
      <c r="AB33" s="38">
        <f t="shared" si="6"/>
        <v>0</v>
      </c>
      <c r="AC33" s="38">
        <f t="shared" si="21"/>
        <v>0</v>
      </c>
      <c r="AD33" s="38">
        <f t="shared" si="7"/>
        <v>0</v>
      </c>
      <c r="AE33" s="202">
        <f t="shared" si="8"/>
        <v>0</v>
      </c>
      <c r="AF33" s="203">
        <f t="shared" si="25"/>
        <v>0</v>
      </c>
      <c r="AG33" s="203">
        <f t="shared" si="25"/>
        <v>0</v>
      </c>
      <c r="AH33" s="204">
        <v>110</v>
      </c>
      <c r="AI33" s="205">
        <f t="shared" si="24"/>
        <v>0</v>
      </c>
      <c r="AJ33" s="206">
        <f t="shared" si="10"/>
        <v>0</v>
      </c>
      <c r="AK33" s="207">
        <f t="shared" si="11"/>
        <v>0</v>
      </c>
      <c r="AL33" s="205">
        <f t="shared" si="22"/>
        <v>0</v>
      </c>
      <c r="AM33" s="202">
        <f t="shared" si="12"/>
        <v>0</v>
      </c>
      <c r="AN33" s="208">
        <f t="shared" si="13"/>
        <v>0</v>
      </c>
      <c r="AO33" s="203">
        <f t="shared" si="14"/>
        <v>0</v>
      </c>
      <c r="AP33" s="203">
        <f t="shared" si="15"/>
        <v>0</v>
      </c>
      <c r="AQ33" s="208">
        <f t="shared" si="16"/>
        <v>0</v>
      </c>
      <c r="AR33" s="208">
        <f t="shared" si="17"/>
        <v>0</v>
      </c>
      <c r="AS33" s="208">
        <f t="shared" si="23"/>
        <v>0</v>
      </c>
      <c r="AT33" s="208">
        <f t="shared" si="23"/>
        <v>0</v>
      </c>
      <c r="AU33" s="209"/>
      <c r="AV33" s="210"/>
      <c r="AW33" s="210"/>
    </row>
    <row r="34" spans="1:50" ht="14.25" customHeight="1" x14ac:dyDescent="0.15">
      <c r="A34" s="187"/>
      <c r="B34" s="223">
        <v>30</v>
      </c>
      <c r="C34" s="284" t="s">
        <v>605</v>
      </c>
      <c r="D34" s="227"/>
      <c r="E34" s="187"/>
      <c r="F34" s="290"/>
      <c r="G34" s="298">
        <f t="shared" si="0"/>
        <v>0</v>
      </c>
      <c r="H34" s="167"/>
      <c r="I34" s="166"/>
      <c r="J34" s="39"/>
      <c r="K34" s="37"/>
      <c r="L34" s="37"/>
      <c r="M34" s="183">
        <v>1</v>
      </c>
      <c r="N34" s="292"/>
      <c r="O34" s="187">
        <v>29</v>
      </c>
      <c r="P34" s="303">
        <f t="shared" si="18"/>
        <v>0</v>
      </c>
      <c r="Q34" s="300">
        <f t="shared" si="18"/>
        <v>0</v>
      </c>
      <c r="R34" s="301">
        <f t="shared" si="18"/>
        <v>0</v>
      </c>
      <c r="S34" s="199">
        <f t="shared" si="18"/>
        <v>0</v>
      </c>
      <c r="T34" s="302">
        <f t="shared" si="18"/>
        <v>0</v>
      </c>
      <c r="U34" s="199">
        <f t="shared" si="19"/>
        <v>0</v>
      </c>
      <c r="V34" s="277">
        <f t="shared" si="1"/>
        <v>0</v>
      </c>
      <c r="W34" s="255">
        <f t="shared" si="2"/>
        <v>0</v>
      </c>
      <c r="X34" s="255">
        <f t="shared" si="3"/>
        <v>0</v>
      </c>
      <c r="Y34" s="278">
        <f t="shared" si="20"/>
        <v>0</v>
      </c>
      <c r="Z34" s="256">
        <f t="shared" si="4"/>
        <v>0</v>
      </c>
      <c r="AA34" s="187" t="str">
        <f t="shared" si="5"/>
        <v>ok</v>
      </c>
      <c r="AB34" s="38">
        <f t="shared" si="6"/>
        <v>0</v>
      </c>
      <c r="AC34" s="38">
        <f t="shared" si="21"/>
        <v>0</v>
      </c>
      <c r="AD34" s="38">
        <f t="shared" si="7"/>
        <v>0</v>
      </c>
      <c r="AE34" s="202">
        <f t="shared" si="8"/>
        <v>0</v>
      </c>
      <c r="AF34" s="203">
        <f t="shared" si="25"/>
        <v>0</v>
      </c>
      <c r="AG34" s="203">
        <f t="shared" si="25"/>
        <v>0</v>
      </c>
      <c r="AH34" s="204">
        <v>110</v>
      </c>
      <c r="AI34" s="205">
        <f t="shared" si="24"/>
        <v>0</v>
      </c>
      <c r="AJ34" s="206">
        <f t="shared" si="10"/>
        <v>0</v>
      </c>
      <c r="AK34" s="207">
        <f t="shared" si="11"/>
        <v>0</v>
      </c>
      <c r="AL34" s="205">
        <f t="shared" si="22"/>
        <v>0</v>
      </c>
      <c r="AM34" s="202">
        <f t="shared" si="12"/>
        <v>0</v>
      </c>
      <c r="AN34" s="208">
        <f t="shared" si="13"/>
        <v>0</v>
      </c>
      <c r="AO34" s="203">
        <f t="shared" si="14"/>
        <v>0</v>
      </c>
      <c r="AP34" s="203">
        <f t="shared" si="15"/>
        <v>0</v>
      </c>
      <c r="AQ34" s="208">
        <f t="shared" si="16"/>
        <v>0</v>
      </c>
      <c r="AR34" s="208">
        <f t="shared" si="17"/>
        <v>0</v>
      </c>
      <c r="AS34" s="208">
        <f t="shared" si="23"/>
        <v>0</v>
      </c>
      <c r="AT34" s="208">
        <f t="shared" si="23"/>
        <v>0</v>
      </c>
      <c r="AU34" s="209"/>
      <c r="AV34" s="210"/>
      <c r="AW34" s="210"/>
    </row>
    <row r="35" spans="1:50" ht="14.25" customHeight="1" x14ac:dyDescent="0.15">
      <c r="A35" s="187"/>
      <c r="B35" s="223">
        <v>31</v>
      </c>
      <c r="C35" s="284" t="s">
        <v>606</v>
      </c>
      <c r="D35" s="227"/>
      <c r="E35" s="187"/>
      <c r="F35" s="290"/>
      <c r="G35" s="298">
        <f t="shared" si="0"/>
        <v>0</v>
      </c>
      <c r="H35" s="167"/>
      <c r="I35" s="166"/>
      <c r="J35" s="39"/>
      <c r="K35" s="37"/>
      <c r="L35" s="37"/>
      <c r="M35" s="183">
        <v>1</v>
      </c>
      <c r="N35" s="292"/>
      <c r="O35" s="187">
        <v>30</v>
      </c>
      <c r="P35" s="303">
        <f t="shared" si="18"/>
        <v>0</v>
      </c>
      <c r="Q35" s="300">
        <f t="shared" si="18"/>
        <v>0</v>
      </c>
      <c r="R35" s="301">
        <f t="shared" si="18"/>
        <v>0</v>
      </c>
      <c r="S35" s="199">
        <f t="shared" si="18"/>
        <v>0</v>
      </c>
      <c r="T35" s="302">
        <f t="shared" si="18"/>
        <v>0</v>
      </c>
      <c r="U35" s="199">
        <f t="shared" si="19"/>
        <v>0</v>
      </c>
      <c r="V35" s="277">
        <f t="shared" si="1"/>
        <v>0</v>
      </c>
      <c r="W35" s="255">
        <f t="shared" si="2"/>
        <v>0</v>
      </c>
      <c r="X35" s="255">
        <f t="shared" si="3"/>
        <v>0</v>
      </c>
      <c r="Y35" s="278">
        <f t="shared" si="20"/>
        <v>0</v>
      </c>
      <c r="Z35" s="256">
        <f t="shared" si="4"/>
        <v>0</v>
      </c>
      <c r="AA35" s="187" t="str">
        <f t="shared" si="5"/>
        <v>ok</v>
      </c>
      <c r="AB35" s="38">
        <f t="shared" si="6"/>
        <v>0</v>
      </c>
      <c r="AC35" s="38">
        <f t="shared" si="21"/>
        <v>0</v>
      </c>
      <c r="AD35" s="38">
        <f t="shared" si="7"/>
        <v>0</v>
      </c>
      <c r="AE35" s="202">
        <f t="shared" si="8"/>
        <v>0</v>
      </c>
      <c r="AF35" s="203">
        <f t="shared" si="25"/>
        <v>0</v>
      </c>
      <c r="AG35" s="203">
        <f t="shared" si="25"/>
        <v>0</v>
      </c>
      <c r="AH35" s="204">
        <v>110</v>
      </c>
      <c r="AI35" s="205">
        <f t="shared" si="24"/>
        <v>0</v>
      </c>
      <c r="AJ35" s="206">
        <f t="shared" si="10"/>
        <v>0</v>
      </c>
      <c r="AK35" s="207">
        <f t="shared" si="11"/>
        <v>0</v>
      </c>
      <c r="AL35" s="205">
        <f t="shared" si="22"/>
        <v>0</v>
      </c>
      <c r="AM35" s="202">
        <f t="shared" si="12"/>
        <v>0</v>
      </c>
      <c r="AN35" s="208">
        <f t="shared" si="13"/>
        <v>0</v>
      </c>
      <c r="AO35" s="203">
        <f t="shared" si="14"/>
        <v>0</v>
      </c>
      <c r="AP35" s="203">
        <f t="shared" si="15"/>
        <v>0</v>
      </c>
      <c r="AQ35" s="208">
        <f t="shared" si="16"/>
        <v>0</v>
      </c>
      <c r="AR35" s="208">
        <f t="shared" si="17"/>
        <v>0</v>
      </c>
      <c r="AS35" s="208">
        <f t="shared" si="23"/>
        <v>0</v>
      </c>
      <c r="AT35" s="208">
        <f t="shared" si="23"/>
        <v>0</v>
      </c>
      <c r="AU35" s="211"/>
      <c r="AV35" s="212"/>
    </row>
    <row r="36" spans="1:50" ht="14.25" customHeight="1" x14ac:dyDescent="0.15">
      <c r="A36" s="187"/>
      <c r="B36" s="223">
        <v>32</v>
      </c>
      <c r="C36" s="284" t="s">
        <v>607</v>
      </c>
      <c r="D36" s="227"/>
      <c r="E36" s="187"/>
      <c r="F36" s="290"/>
      <c r="G36" s="298">
        <f t="shared" si="0"/>
        <v>0</v>
      </c>
      <c r="H36" s="167"/>
      <c r="I36" s="166"/>
      <c r="J36" s="39"/>
      <c r="K36" s="37"/>
      <c r="L36" s="37"/>
      <c r="M36" s="183">
        <v>1</v>
      </c>
      <c r="N36" s="292"/>
      <c r="O36" s="187">
        <v>31</v>
      </c>
      <c r="P36" s="303">
        <f t="shared" si="18"/>
        <v>0</v>
      </c>
      <c r="Q36" s="300">
        <f t="shared" si="18"/>
        <v>0</v>
      </c>
      <c r="R36" s="301">
        <f t="shared" si="18"/>
        <v>0</v>
      </c>
      <c r="S36" s="199">
        <f t="shared" si="18"/>
        <v>0</v>
      </c>
      <c r="T36" s="302">
        <f t="shared" si="18"/>
        <v>0</v>
      </c>
      <c r="U36" s="199">
        <f t="shared" si="19"/>
        <v>0</v>
      </c>
      <c r="V36" s="277">
        <f t="shared" si="1"/>
        <v>0</v>
      </c>
      <c r="W36" s="255">
        <f t="shared" si="2"/>
        <v>0</v>
      </c>
      <c r="X36" s="255">
        <f t="shared" si="3"/>
        <v>0</v>
      </c>
      <c r="Y36" s="278">
        <f t="shared" si="20"/>
        <v>0</v>
      </c>
      <c r="Z36" s="256">
        <f t="shared" si="4"/>
        <v>0</v>
      </c>
      <c r="AA36" s="187" t="str">
        <f t="shared" si="5"/>
        <v>ok</v>
      </c>
      <c r="AB36" s="38">
        <f t="shared" si="6"/>
        <v>0</v>
      </c>
      <c r="AC36" s="38">
        <f t="shared" si="21"/>
        <v>0</v>
      </c>
      <c r="AD36" s="38">
        <f t="shared" si="7"/>
        <v>0</v>
      </c>
      <c r="AE36" s="202">
        <f t="shared" si="8"/>
        <v>0</v>
      </c>
      <c r="AF36" s="203">
        <f t="shared" si="25"/>
        <v>0</v>
      </c>
      <c r="AG36" s="203">
        <f t="shared" si="25"/>
        <v>0</v>
      </c>
      <c r="AH36" s="204">
        <v>110</v>
      </c>
      <c r="AI36" s="205">
        <f t="shared" si="24"/>
        <v>0</v>
      </c>
      <c r="AJ36" s="206">
        <f t="shared" si="10"/>
        <v>0</v>
      </c>
      <c r="AK36" s="207">
        <f t="shared" si="11"/>
        <v>0</v>
      </c>
      <c r="AL36" s="205">
        <f t="shared" si="22"/>
        <v>0</v>
      </c>
      <c r="AM36" s="202">
        <f t="shared" si="12"/>
        <v>0</v>
      </c>
      <c r="AN36" s="208">
        <f t="shared" si="13"/>
        <v>0</v>
      </c>
      <c r="AO36" s="203">
        <f t="shared" si="14"/>
        <v>0</v>
      </c>
      <c r="AP36" s="203">
        <f t="shared" si="15"/>
        <v>0</v>
      </c>
      <c r="AQ36" s="208">
        <f t="shared" si="16"/>
        <v>0</v>
      </c>
      <c r="AR36" s="208">
        <f t="shared" si="17"/>
        <v>0</v>
      </c>
      <c r="AS36" s="208">
        <f t="shared" si="23"/>
        <v>0</v>
      </c>
      <c r="AT36" s="208">
        <f t="shared" si="23"/>
        <v>0</v>
      </c>
      <c r="AU36" s="213"/>
      <c r="AV36" s="214"/>
    </row>
    <row r="37" spans="1:50" ht="14.25" customHeight="1" x14ac:dyDescent="0.15">
      <c r="A37" s="187"/>
      <c r="B37" s="223">
        <v>33</v>
      </c>
      <c r="C37" s="284" t="s">
        <v>608</v>
      </c>
      <c r="D37" s="227"/>
      <c r="E37" s="187"/>
      <c r="F37" s="290"/>
      <c r="G37" s="298">
        <f t="shared" si="0"/>
        <v>0</v>
      </c>
      <c r="H37" s="167"/>
      <c r="I37" s="166"/>
      <c r="J37" s="39"/>
      <c r="K37" s="37"/>
      <c r="L37" s="37"/>
      <c r="M37" s="183">
        <v>1</v>
      </c>
      <c r="N37" s="292"/>
      <c r="O37" s="187">
        <v>32</v>
      </c>
      <c r="P37" s="303">
        <f t="shared" si="18"/>
        <v>0</v>
      </c>
      <c r="Q37" s="300">
        <f t="shared" si="18"/>
        <v>0</v>
      </c>
      <c r="R37" s="301">
        <f t="shared" si="18"/>
        <v>0</v>
      </c>
      <c r="S37" s="199">
        <f t="shared" si="18"/>
        <v>0</v>
      </c>
      <c r="T37" s="302">
        <f t="shared" si="18"/>
        <v>0</v>
      </c>
      <c r="U37" s="199">
        <f t="shared" si="19"/>
        <v>0</v>
      </c>
      <c r="V37" s="277">
        <f t="shared" si="1"/>
        <v>0</v>
      </c>
      <c r="W37" s="255">
        <f t="shared" si="2"/>
        <v>0</v>
      </c>
      <c r="X37" s="255">
        <f t="shared" si="3"/>
        <v>0</v>
      </c>
      <c r="Y37" s="278">
        <f t="shared" si="20"/>
        <v>0</v>
      </c>
      <c r="Z37" s="256">
        <f t="shared" si="4"/>
        <v>0</v>
      </c>
      <c r="AA37" s="187" t="str">
        <f t="shared" si="5"/>
        <v>ok</v>
      </c>
      <c r="AB37" s="38">
        <f t="shared" si="6"/>
        <v>0</v>
      </c>
      <c r="AC37" s="38">
        <f t="shared" si="21"/>
        <v>0</v>
      </c>
      <c r="AD37" s="38">
        <f t="shared" si="7"/>
        <v>0</v>
      </c>
      <c r="AE37" s="202">
        <f t="shared" si="8"/>
        <v>0</v>
      </c>
      <c r="AF37" s="203">
        <f t="shared" si="25"/>
        <v>0</v>
      </c>
      <c r="AG37" s="203">
        <f t="shared" si="25"/>
        <v>0</v>
      </c>
      <c r="AH37" s="204">
        <v>110</v>
      </c>
      <c r="AI37" s="205">
        <f t="shared" si="24"/>
        <v>0</v>
      </c>
      <c r="AJ37" s="206">
        <f t="shared" si="10"/>
        <v>0</v>
      </c>
      <c r="AK37" s="207">
        <f t="shared" si="11"/>
        <v>0</v>
      </c>
      <c r="AL37" s="205">
        <f t="shared" si="22"/>
        <v>0</v>
      </c>
      <c r="AM37" s="202">
        <f t="shared" si="12"/>
        <v>0</v>
      </c>
      <c r="AN37" s="208">
        <f t="shared" si="13"/>
        <v>0</v>
      </c>
      <c r="AO37" s="203">
        <f t="shared" si="14"/>
        <v>0</v>
      </c>
      <c r="AP37" s="203">
        <f t="shared" si="15"/>
        <v>0</v>
      </c>
      <c r="AQ37" s="208">
        <f t="shared" si="16"/>
        <v>0</v>
      </c>
      <c r="AR37" s="208">
        <f t="shared" si="17"/>
        <v>0</v>
      </c>
      <c r="AS37" s="208">
        <f t="shared" si="23"/>
        <v>0</v>
      </c>
      <c r="AT37" s="208">
        <f t="shared" si="23"/>
        <v>0</v>
      </c>
      <c r="AU37" s="213"/>
      <c r="AV37" s="214"/>
    </row>
    <row r="38" spans="1:50" ht="14.25" customHeight="1" x14ac:dyDescent="0.15">
      <c r="A38" s="187"/>
      <c r="B38" s="223">
        <v>34</v>
      </c>
      <c r="C38" s="284" t="s">
        <v>609</v>
      </c>
      <c r="D38" s="227"/>
      <c r="E38" s="187"/>
      <c r="F38" s="290"/>
      <c r="G38" s="298">
        <f t="shared" si="0"/>
        <v>0</v>
      </c>
      <c r="H38" s="167"/>
      <c r="I38" s="166"/>
      <c r="J38" s="39"/>
      <c r="K38" s="37"/>
      <c r="L38" s="37"/>
      <c r="M38" s="183">
        <v>1</v>
      </c>
      <c r="N38" s="292"/>
      <c r="O38" s="187">
        <v>33</v>
      </c>
      <c r="P38" s="303">
        <f t="shared" si="18"/>
        <v>0</v>
      </c>
      <c r="Q38" s="300">
        <f t="shared" si="18"/>
        <v>0</v>
      </c>
      <c r="R38" s="301">
        <f t="shared" si="18"/>
        <v>0</v>
      </c>
      <c r="S38" s="199">
        <f t="shared" si="18"/>
        <v>0</v>
      </c>
      <c r="T38" s="302">
        <f t="shared" si="18"/>
        <v>0</v>
      </c>
      <c r="U38" s="199">
        <f t="shared" si="19"/>
        <v>0</v>
      </c>
      <c r="V38" s="277">
        <f t="shared" si="1"/>
        <v>0</v>
      </c>
      <c r="W38" s="255">
        <f t="shared" si="2"/>
        <v>0</v>
      </c>
      <c r="X38" s="255">
        <f t="shared" si="3"/>
        <v>0</v>
      </c>
      <c r="Y38" s="278">
        <f t="shared" si="20"/>
        <v>0</v>
      </c>
      <c r="Z38" s="256">
        <f t="shared" si="4"/>
        <v>0</v>
      </c>
      <c r="AA38" s="187" t="str">
        <f t="shared" si="5"/>
        <v>ok</v>
      </c>
      <c r="AB38" s="38">
        <f t="shared" si="6"/>
        <v>0</v>
      </c>
      <c r="AC38" s="38">
        <f t="shared" si="21"/>
        <v>0</v>
      </c>
      <c r="AD38" s="38">
        <f t="shared" si="7"/>
        <v>0</v>
      </c>
      <c r="AE38" s="202">
        <f t="shared" si="8"/>
        <v>0</v>
      </c>
      <c r="AF38" s="203">
        <f t="shared" si="25"/>
        <v>0</v>
      </c>
      <c r="AG38" s="203">
        <f t="shared" si="25"/>
        <v>0</v>
      </c>
      <c r="AH38" s="204">
        <v>110</v>
      </c>
      <c r="AI38" s="205">
        <f t="shared" si="24"/>
        <v>0</v>
      </c>
      <c r="AJ38" s="206">
        <f t="shared" si="10"/>
        <v>0</v>
      </c>
      <c r="AK38" s="207">
        <f t="shared" si="11"/>
        <v>0</v>
      </c>
      <c r="AL38" s="205">
        <f t="shared" si="22"/>
        <v>0</v>
      </c>
      <c r="AM38" s="202">
        <f t="shared" si="12"/>
        <v>0</v>
      </c>
      <c r="AN38" s="208">
        <f t="shared" si="13"/>
        <v>0</v>
      </c>
      <c r="AO38" s="203">
        <f t="shared" si="14"/>
        <v>0</v>
      </c>
      <c r="AP38" s="203">
        <f t="shared" si="15"/>
        <v>0</v>
      </c>
      <c r="AQ38" s="208">
        <f t="shared" si="16"/>
        <v>0</v>
      </c>
      <c r="AR38" s="208">
        <f t="shared" si="17"/>
        <v>0</v>
      </c>
      <c r="AS38" s="208">
        <f t="shared" si="23"/>
        <v>0</v>
      </c>
      <c r="AT38" s="208">
        <f t="shared" si="23"/>
        <v>0</v>
      </c>
      <c r="AU38" s="213"/>
      <c r="AV38" s="214"/>
      <c r="AX38" s="215"/>
    </row>
    <row r="39" spans="1:50" ht="14.25" customHeight="1" x14ac:dyDescent="0.15">
      <c r="A39" s="187"/>
      <c r="B39" s="223">
        <v>35</v>
      </c>
      <c r="C39" s="284" t="s">
        <v>610</v>
      </c>
      <c r="D39" s="227"/>
      <c r="E39" s="187"/>
      <c r="F39" s="290"/>
      <c r="G39" s="298">
        <f t="shared" si="0"/>
        <v>0</v>
      </c>
      <c r="H39" s="167"/>
      <c r="I39" s="166"/>
      <c r="J39" s="39"/>
      <c r="K39" s="37"/>
      <c r="L39" s="37"/>
      <c r="M39" s="183">
        <v>1</v>
      </c>
      <c r="N39" s="292"/>
      <c r="O39" s="187">
        <v>34</v>
      </c>
      <c r="P39" s="303">
        <f t="shared" si="18"/>
        <v>0</v>
      </c>
      <c r="Q39" s="300">
        <f t="shared" si="18"/>
        <v>0</v>
      </c>
      <c r="R39" s="301">
        <f t="shared" si="18"/>
        <v>0</v>
      </c>
      <c r="S39" s="199">
        <f t="shared" si="18"/>
        <v>0</v>
      </c>
      <c r="T39" s="302">
        <f t="shared" si="18"/>
        <v>0</v>
      </c>
      <c r="U39" s="199">
        <f t="shared" si="19"/>
        <v>0</v>
      </c>
      <c r="V39" s="277">
        <f t="shared" si="1"/>
        <v>0</v>
      </c>
      <c r="W39" s="255">
        <f t="shared" si="2"/>
        <v>0</v>
      </c>
      <c r="X39" s="255">
        <f t="shared" si="3"/>
        <v>0</v>
      </c>
      <c r="Y39" s="278">
        <f t="shared" si="20"/>
        <v>0</v>
      </c>
      <c r="Z39" s="256">
        <f t="shared" si="4"/>
        <v>0</v>
      </c>
      <c r="AA39" s="187" t="str">
        <f t="shared" si="5"/>
        <v>ok</v>
      </c>
      <c r="AB39" s="38">
        <f t="shared" si="6"/>
        <v>0</v>
      </c>
      <c r="AC39" s="38">
        <f t="shared" si="21"/>
        <v>0</v>
      </c>
      <c r="AD39" s="38">
        <f t="shared" si="7"/>
        <v>0</v>
      </c>
      <c r="AE39" s="202">
        <f t="shared" si="8"/>
        <v>0</v>
      </c>
      <c r="AF39" s="203">
        <f t="shared" si="25"/>
        <v>0</v>
      </c>
      <c r="AG39" s="203">
        <f t="shared" si="25"/>
        <v>0</v>
      </c>
      <c r="AH39" s="204">
        <v>110</v>
      </c>
      <c r="AI39" s="205">
        <f t="shared" si="24"/>
        <v>0</v>
      </c>
      <c r="AJ39" s="206">
        <f t="shared" si="10"/>
        <v>0</v>
      </c>
      <c r="AK39" s="207">
        <f t="shared" si="11"/>
        <v>0</v>
      </c>
      <c r="AL39" s="205">
        <f t="shared" si="22"/>
        <v>0</v>
      </c>
      <c r="AM39" s="202">
        <f t="shared" si="12"/>
        <v>0</v>
      </c>
      <c r="AN39" s="208">
        <f t="shared" si="13"/>
        <v>0</v>
      </c>
      <c r="AO39" s="203">
        <f t="shared" si="14"/>
        <v>0</v>
      </c>
      <c r="AP39" s="203">
        <f t="shared" si="15"/>
        <v>0</v>
      </c>
      <c r="AQ39" s="208">
        <f t="shared" si="16"/>
        <v>0</v>
      </c>
      <c r="AR39" s="208">
        <f t="shared" si="17"/>
        <v>0</v>
      </c>
      <c r="AS39" s="208">
        <f t="shared" si="23"/>
        <v>0</v>
      </c>
      <c r="AT39" s="208">
        <f t="shared" si="23"/>
        <v>0</v>
      </c>
      <c r="AU39" s="209"/>
      <c r="AV39" s="210"/>
    </row>
    <row r="40" spans="1:50" ht="14.25" customHeight="1" x14ac:dyDescent="0.15">
      <c r="A40" s="187"/>
      <c r="B40" s="223">
        <v>36</v>
      </c>
      <c r="C40" s="284" t="s">
        <v>611</v>
      </c>
      <c r="D40" s="227"/>
      <c r="E40" s="187"/>
      <c r="F40" s="290"/>
      <c r="G40" s="298">
        <f t="shared" si="0"/>
        <v>0</v>
      </c>
      <c r="H40" s="167"/>
      <c r="I40" s="166"/>
      <c r="J40" s="39"/>
      <c r="K40" s="37"/>
      <c r="L40" s="37"/>
      <c r="M40" s="183">
        <v>1</v>
      </c>
      <c r="N40" s="292"/>
      <c r="O40" s="187">
        <v>35</v>
      </c>
      <c r="P40" s="303">
        <f t="shared" si="18"/>
        <v>0</v>
      </c>
      <c r="Q40" s="300">
        <f t="shared" si="18"/>
        <v>0</v>
      </c>
      <c r="R40" s="301">
        <f t="shared" si="18"/>
        <v>0</v>
      </c>
      <c r="S40" s="199">
        <f t="shared" si="18"/>
        <v>0</v>
      </c>
      <c r="T40" s="302">
        <f t="shared" si="18"/>
        <v>0</v>
      </c>
      <c r="U40" s="199">
        <f t="shared" si="19"/>
        <v>0</v>
      </c>
      <c r="V40" s="277">
        <f t="shared" si="1"/>
        <v>0</v>
      </c>
      <c r="W40" s="255">
        <f t="shared" si="2"/>
        <v>0</v>
      </c>
      <c r="X40" s="255">
        <f t="shared" si="3"/>
        <v>0</v>
      </c>
      <c r="Y40" s="278">
        <f t="shared" si="20"/>
        <v>0</v>
      </c>
      <c r="Z40" s="256">
        <f t="shared" si="4"/>
        <v>0</v>
      </c>
      <c r="AA40" s="187" t="str">
        <f t="shared" si="5"/>
        <v>ok</v>
      </c>
      <c r="AB40" s="38">
        <f t="shared" si="6"/>
        <v>0</v>
      </c>
      <c r="AC40" s="38">
        <f t="shared" si="21"/>
        <v>0</v>
      </c>
      <c r="AD40" s="38">
        <f t="shared" si="7"/>
        <v>0</v>
      </c>
      <c r="AE40" s="202">
        <f t="shared" si="8"/>
        <v>0</v>
      </c>
      <c r="AF40" s="203">
        <f t="shared" si="25"/>
        <v>0</v>
      </c>
      <c r="AG40" s="203">
        <f t="shared" si="25"/>
        <v>0</v>
      </c>
      <c r="AH40" s="204">
        <v>110</v>
      </c>
      <c r="AI40" s="205">
        <f t="shared" si="24"/>
        <v>0</v>
      </c>
      <c r="AJ40" s="206">
        <f t="shared" si="10"/>
        <v>0</v>
      </c>
      <c r="AK40" s="207">
        <f t="shared" si="11"/>
        <v>0</v>
      </c>
      <c r="AL40" s="205">
        <f t="shared" si="22"/>
        <v>0</v>
      </c>
      <c r="AM40" s="202">
        <f t="shared" si="12"/>
        <v>0</v>
      </c>
      <c r="AN40" s="208">
        <f t="shared" si="13"/>
        <v>0</v>
      </c>
      <c r="AO40" s="203">
        <f t="shared" si="14"/>
        <v>0</v>
      </c>
      <c r="AP40" s="203">
        <f t="shared" si="15"/>
        <v>0</v>
      </c>
      <c r="AQ40" s="208">
        <f t="shared" si="16"/>
        <v>0</v>
      </c>
      <c r="AR40" s="208">
        <f t="shared" si="17"/>
        <v>0</v>
      </c>
      <c r="AS40" s="208">
        <f t="shared" si="23"/>
        <v>0</v>
      </c>
      <c r="AT40" s="208">
        <f t="shared" si="23"/>
        <v>0</v>
      </c>
      <c r="AU40" s="209"/>
      <c r="AV40" s="210"/>
      <c r="AX40" s="216"/>
    </row>
    <row r="41" spans="1:50" ht="14.25" customHeight="1" x14ac:dyDescent="0.15">
      <c r="A41" s="187"/>
      <c r="B41" s="223">
        <v>37</v>
      </c>
      <c r="C41" s="284" t="s">
        <v>612</v>
      </c>
      <c r="D41" s="227"/>
      <c r="E41" s="187"/>
      <c r="F41" s="290"/>
      <c r="G41" s="298">
        <f t="shared" si="0"/>
        <v>0</v>
      </c>
      <c r="H41" s="167"/>
      <c r="I41" s="166"/>
      <c r="J41" s="39"/>
      <c r="K41" s="37"/>
      <c r="L41" s="37"/>
      <c r="M41" s="183">
        <v>1</v>
      </c>
      <c r="N41" s="292"/>
      <c r="O41" s="187">
        <v>36</v>
      </c>
      <c r="P41" s="303">
        <f t="shared" si="18"/>
        <v>0</v>
      </c>
      <c r="Q41" s="300">
        <f t="shared" si="18"/>
        <v>0</v>
      </c>
      <c r="R41" s="301">
        <f t="shared" si="18"/>
        <v>0</v>
      </c>
      <c r="S41" s="199">
        <f t="shared" si="18"/>
        <v>0</v>
      </c>
      <c r="T41" s="302">
        <f t="shared" si="18"/>
        <v>0</v>
      </c>
      <c r="U41" s="199">
        <f t="shared" si="19"/>
        <v>0</v>
      </c>
      <c r="V41" s="277">
        <f t="shared" si="1"/>
        <v>0</v>
      </c>
      <c r="W41" s="255">
        <f t="shared" si="2"/>
        <v>0</v>
      </c>
      <c r="X41" s="255">
        <f t="shared" si="3"/>
        <v>0</v>
      </c>
      <c r="Y41" s="278">
        <f t="shared" si="20"/>
        <v>0</v>
      </c>
      <c r="Z41" s="256">
        <f t="shared" si="4"/>
        <v>0</v>
      </c>
      <c r="AA41" s="187" t="str">
        <f t="shared" si="5"/>
        <v>ok</v>
      </c>
      <c r="AB41" s="38">
        <f t="shared" si="6"/>
        <v>0</v>
      </c>
      <c r="AC41" s="38">
        <f t="shared" si="21"/>
        <v>0</v>
      </c>
      <c r="AD41" s="38">
        <f t="shared" si="7"/>
        <v>0</v>
      </c>
      <c r="AE41" s="202">
        <f t="shared" si="8"/>
        <v>0</v>
      </c>
      <c r="AF41" s="203">
        <f t="shared" si="25"/>
        <v>0</v>
      </c>
      <c r="AG41" s="203">
        <f t="shared" si="25"/>
        <v>0</v>
      </c>
      <c r="AH41" s="204">
        <v>110</v>
      </c>
      <c r="AI41" s="205">
        <f t="shared" si="24"/>
        <v>0</v>
      </c>
      <c r="AJ41" s="206">
        <f t="shared" si="10"/>
        <v>0</v>
      </c>
      <c r="AK41" s="207">
        <f t="shared" si="11"/>
        <v>0</v>
      </c>
      <c r="AL41" s="205">
        <f t="shared" si="22"/>
        <v>0</v>
      </c>
      <c r="AM41" s="202">
        <f t="shared" si="12"/>
        <v>0</v>
      </c>
      <c r="AN41" s="208">
        <f t="shared" si="13"/>
        <v>0</v>
      </c>
      <c r="AO41" s="203">
        <f t="shared" si="14"/>
        <v>0</v>
      </c>
      <c r="AP41" s="203">
        <f t="shared" si="15"/>
        <v>0</v>
      </c>
      <c r="AQ41" s="208">
        <f t="shared" si="16"/>
        <v>0</v>
      </c>
      <c r="AR41" s="208">
        <f t="shared" si="17"/>
        <v>0</v>
      </c>
      <c r="AS41" s="208">
        <f t="shared" si="23"/>
        <v>0</v>
      </c>
      <c r="AT41" s="208">
        <f t="shared" si="23"/>
        <v>0</v>
      </c>
      <c r="AU41" s="209"/>
      <c r="AV41" s="210"/>
      <c r="AX41" s="216"/>
    </row>
    <row r="42" spans="1:50" ht="14.25" customHeight="1" x14ac:dyDescent="0.15">
      <c r="A42" s="187"/>
      <c r="B42" s="223">
        <v>38</v>
      </c>
      <c r="C42" s="284" t="s">
        <v>613</v>
      </c>
      <c r="D42" s="227"/>
      <c r="E42" s="187"/>
      <c r="F42" s="290"/>
      <c r="G42" s="298">
        <f t="shared" si="0"/>
        <v>0</v>
      </c>
      <c r="H42" s="167"/>
      <c r="I42" s="166"/>
      <c r="J42" s="39"/>
      <c r="K42" s="37"/>
      <c r="L42" s="37"/>
      <c r="M42" s="183">
        <v>1</v>
      </c>
      <c r="N42" s="292"/>
      <c r="O42" s="187">
        <v>37</v>
      </c>
      <c r="P42" s="303">
        <f t="shared" si="18"/>
        <v>0</v>
      </c>
      <c r="Q42" s="300">
        <f t="shared" si="18"/>
        <v>0</v>
      </c>
      <c r="R42" s="301">
        <f t="shared" si="18"/>
        <v>0</v>
      </c>
      <c r="S42" s="199">
        <f t="shared" si="18"/>
        <v>0</v>
      </c>
      <c r="T42" s="302">
        <f t="shared" si="18"/>
        <v>0</v>
      </c>
      <c r="U42" s="199">
        <f t="shared" si="19"/>
        <v>0</v>
      </c>
      <c r="V42" s="277">
        <f t="shared" si="1"/>
        <v>0</v>
      </c>
      <c r="W42" s="255">
        <f t="shared" si="2"/>
        <v>0</v>
      </c>
      <c r="X42" s="255">
        <f t="shared" si="3"/>
        <v>0</v>
      </c>
      <c r="Y42" s="278">
        <f t="shared" si="20"/>
        <v>0</v>
      </c>
      <c r="Z42" s="256">
        <f t="shared" si="4"/>
        <v>0</v>
      </c>
      <c r="AA42" s="187" t="str">
        <f t="shared" si="5"/>
        <v>ok</v>
      </c>
      <c r="AB42" s="38">
        <f t="shared" si="6"/>
        <v>0</v>
      </c>
      <c r="AC42" s="38">
        <f t="shared" si="21"/>
        <v>0</v>
      </c>
      <c r="AD42" s="38">
        <f t="shared" si="7"/>
        <v>0</v>
      </c>
      <c r="AE42" s="202">
        <f t="shared" si="8"/>
        <v>0</v>
      </c>
      <c r="AF42" s="203">
        <f t="shared" si="25"/>
        <v>0</v>
      </c>
      <c r="AG42" s="203">
        <f t="shared" si="25"/>
        <v>0</v>
      </c>
      <c r="AH42" s="204">
        <v>110</v>
      </c>
      <c r="AI42" s="205">
        <f t="shared" si="24"/>
        <v>0</v>
      </c>
      <c r="AJ42" s="206">
        <f t="shared" si="10"/>
        <v>0</v>
      </c>
      <c r="AK42" s="207">
        <f t="shared" si="11"/>
        <v>0</v>
      </c>
      <c r="AL42" s="205">
        <f t="shared" si="22"/>
        <v>0</v>
      </c>
      <c r="AM42" s="202">
        <f t="shared" si="12"/>
        <v>0</v>
      </c>
      <c r="AN42" s="208">
        <f t="shared" si="13"/>
        <v>0</v>
      </c>
      <c r="AO42" s="203">
        <f t="shared" si="14"/>
        <v>0</v>
      </c>
      <c r="AP42" s="203">
        <f t="shared" si="15"/>
        <v>0</v>
      </c>
      <c r="AQ42" s="208">
        <f t="shared" si="16"/>
        <v>0</v>
      </c>
      <c r="AR42" s="208">
        <f t="shared" si="17"/>
        <v>0</v>
      </c>
      <c r="AS42" s="208">
        <f t="shared" si="23"/>
        <v>0</v>
      </c>
      <c r="AT42" s="208">
        <f t="shared" si="23"/>
        <v>0</v>
      </c>
      <c r="AU42" s="209"/>
      <c r="AV42" s="210"/>
    </row>
    <row r="43" spans="1:50" ht="14.25" customHeight="1" thickBot="1" x14ac:dyDescent="0.2">
      <c r="A43" s="187"/>
      <c r="B43" s="228">
        <v>39</v>
      </c>
      <c r="C43" s="285" t="s">
        <v>614</v>
      </c>
      <c r="D43" s="229"/>
      <c r="E43" s="187"/>
      <c r="F43" s="290"/>
      <c r="G43" s="298">
        <f t="shared" si="0"/>
        <v>0</v>
      </c>
      <c r="H43" s="167"/>
      <c r="I43" s="166"/>
      <c r="J43" s="39"/>
      <c r="K43" s="37"/>
      <c r="L43" s="37"/>
      <c r="M43" s="183">
        <v>1</v>
      </c>
      <c r="N43" s="292"/>
      <c r="O43" s="187">
        <v>38</v>
      </c>
      <c r="P43" s="303">
        <f t="shared" si="18"/>
        <v>0</v>
      </c>
      <c r="Q43" s="300">
        <f t="shared" si="18"/>
        <v>0</v>
      </c>
      <c r="R43" s="301">
        <f t="shared" si="18"/>
        <v>0</v>
      </c>
      <c r="S43" s="199">
        <f t="shared" si="18"/>
        <v>0</v>
      </c>
      <c r="T43" s="302">
        <f t="shared" si="18"/>
        <v>0</v>
      </c>
      <c r="U43" s="199">
        <f t="shared" si="19"/>
        <v>0</v>
      </c>
      <c r="V43" s="277">
        <f t="shared" si="1"/>
        <v>0</v>
      </c>
      <c r="W43" s="255">
        <f t="shared" si="2"/>
        <v>0</v>
      </c>
      <c r="X43" s="255">
        <f t="shared" si="3"/>
        <v>0</v>
      </c>
      <c r="Y43" s="278">
        <f t="shared" si="20"/>
        <v>0</v>
      </c>
      <c r="Z43" s="256">
        <f t="shared" si="4"/>
        <v>0</v>
      </c>
      <c r="AA43" s="187" t="str">
        <f t="shared" si="5"/>
        <v>ok</v>
      </c>
      <c r="AB43" s="38">
        <f t="shared" si="6"/>
        <v>0</v>
      </c>
      <c r="AC43" s="38">
        <f t="shared" si="21"/>
        <v>0</v>
      </c>
      <c r="AD43" s="38">
        <f t="shared" si="7"/>
        <v>0</v>
      </c>
      <c r="AE43" s="202">
        <f t="shared" si="8"/>
        <v>0</v>
      </c>
      <c r="AF43" s="203">
        <f t="shared" ref="AF43:AG45" si="26">IF(AM43&lt;11,ROUND(AM43,1),ROUND(AM43,0))</f>
        <v>0</v>
      </c>
      <c r="AG43" s="203">
        <f t="shared" si="26"/>
        <v>0</v>
      </c>
      <c r="AH43" s="204">
        <v>110</v>
      </c>
      <c r="AI43" s="205">
        <f t="shared" si="24"/>
        <v>0</v>
      </c>
      <c r="AJ43" s="206">
        <f t="shared" si="10"/>
        <v>0</v>
      </c>
      <c r="AK43" s="207">
        <f t="shared" si="11"/>
        <v>0</v>
      </c>
      <c r="AL43" s="205">
        <f t="shared" si="22"/>
        <v>0</v>
      </c>
      <c r="AM43" s="202">
        <f t="shared" si="12"/>
        <v>0</v>
      </c>
      <c r="AN43" s="208">
        <f t="shared" si="13"/>
        <v>0</v>
      </c>
      <c r="AO43" s="203">
        <f t="shared" si="14"/>
        <v>0</v>
      </c>
      <c r="AP43" s="203">
        <f t="shared" si="15"/>
        <v>0</v>
      </c>
      <c r="AQ43" s="208">
        <f t="shared" si="16"/>
        <v>0</v>
      </c>
      <c r="AR43" s="208">
        <f t="shared" si="17"/>
        <v>0</v>
      </c>
      <c r="AS43" s="208">
        <f t="shared" si="23"/>
        <v>0</v>
      </c>
      <c r="AT43" s="208">
        <f t="shared" si="23"/>
        <v>0</v>
      </c>
      <c r="AU43" s="209"/>
      <c r="AV43" s="210"/>
    </row>
    <row r="44" spans="1:50" ht="14.25" customHeight="1" x14ac:dyDescent="0.15">
      <c r="A44" s="187"/>
      <c r="B44" s="187"/>
      <c r="C44" s="187"/>
      <c r="D44" s="187"/>
      <c r="E44" s="187"/>
      <c r="F44" s="290"/>
      <c r="G44" s="298">
        <f t="shared" si="0"/>
        <v>0</v>
      </c>
      <c r="H44" s="167"/>
      <c r="I44" s="166"/>
      <c r="J44" s="39"/>
      <c r="K44" s="37"/>
      <c r="L44" s="37"/>
      <c r="M44" s="183">
        <v>1</v>
      </c>
      <c r="N44" s="292"/>
      <c r="O44" s="187">
        <v>39</v>
      </c>
      <c r="P44" s="303">
        <f t="shared" si="18"/>
        <v>0</v>
      </c>
      <c r="Q44" s="300">
        <f t="shared" si="18"/>
        <v>0</v>
      </c>
      <c r="R44" s="301">
        <f t="shared" si="18"/>
        <v>0</v>
      </c>
      <c r="S44" s="199">
        <f t="shared" si="18"/>
        <v>0</v>
      </c>
      <c r="T44" s="302">
        <f t="shared" si="18"/>
        <v>0</v>
      </c>
      <c r="U44" s="199">
        <f t="shared" si="19"/>
        <v>0</v>
      </c>
      <c r="V44" s="277">
        <f t="shared" si="1"/>
        <v>0</v>
      </c>
      <c r="W44" s="255">
        <f t="shared" si="2"/>
        <v>0</v>
      </c>
      <c r="X44" s="255">
        <f t="shared" si="3"/>
        <v>0</v>
      </c>
      <c r="Y44" s="278">
        <f t="shared" si="20"/>
        <v>0</v>
      </c>
      <c r="Z44" s="256">
        <f t="shared" si="4"/>
        <v>0</v>
      </c>
      <c r="AA44" s="187" t="str">
        <f t="shared" si="5"/>
        <v>ok</v>
      </c>
      <c r="AB44" s="38">
        <f t="shared" si="6"/>
        <v>0</v>
      </c>
      <c r="AC44" s="38">
        <f t="shared" si="21"/>
        <v>0</v>
      </c>
      <c r="AD44" s="38">
        <f t="shared" si="7"/>
        <v>0</v>
      </c>
      <c r="AE44" s="202">
        <f t="shared" si="8"/>
        <v>0</v>
      </c>
      <c r="AF44" s="203">
        <f t="shared" si="26"/>
        <v>0</v>
      </c>
      <c r="AG44" s="203">
        <f t="shared" si="26"/>
        <v>0</v>
      </c>
      <c r="AH44" s="204">
        <v>110</v>
      </c>
      <c r="AI44" s="205">
        <f t="shared" si="24"/>
        <v>0</v>
      </c>
      <c r="AJ44" s="206">
        <f t="shared" si="10"/>
        <v>0</v>
      </c>
      <c r="AK44" s="207">
        <f t="shared" si="11"/>
        <v>0</v>
      </c>
      <c r="AL44" s="205">
        <f t="shared" si="22"/>
        <v>0</v>
      </c>
      <c r="AM44" s="202">
        <f t="shared" si="12"/>
        <v>0</v>
      </c>
      <c r="AN44" s="208">
        <f t="shared" si="13"/>
        <v>0</v>
      </c>
      <c r="AO44" s="203">
        <f t="shared" si="14"/>
        <v>0</v>
      </c>
      <c r="AP44" s="203">
        <f t="shared" si="15"/>
        <v>0</v>
      </c>
      <c r="AQ44" s="208">
        <f t="shared" si="16"/>
        <v>0</v>
      </c>
      <c r="AR44" s="208">
        <f t="shared" si="17"/>
        <v>0</v>
      </c>
      <c r="AS44" s="208">
        <f t="shared" si="23"/>
        <v>0</v>
      </c>
      <c r="AT44" s="208">
        <f t="shared" si="23"/>
        <v>0</v>
      </c>
      <c r="AU44" s="209"/>
      <c r="AV44" s="210"/>
    </row>
    <row r="45" spans="1:50" ht="14.25" customHeight="1" thickBot="1" x14ac:dyDescent="0.2">
      <c r="A45" s="187"/>
      <c r="B45" s="187"/>
      <c r="C45" s="187"/>
      <c r="D45" s="187"/>
      <c r="E45" s="187"/>
      <c r="F45" s="291"/>
      <c r="G45" s="299">
        <f t="shared" si="0"/>
        <v>0</v>
      </c>
      <c r="H45" s="293"/>
      <c r="I45" s="294"/>
      <c r="J45" s="295"/>
      <c r="K45" s="296"/>
      <c r="L45" s="296"/>
      <c r="M45" s="219">
        <v>1</v>
      </c>
      <c r="N45" s="297"/>
      <c r="O45" s="187">
        <v>40</v>
      </c>
      <c r="P45" s="303">
        <f t="shared" si="18"/>
        <v>0</v>
      </c>
      <c r="Q45" s="300">
        <f t="shared" si="18"/>
        <v>0</v>
      </c>
      <c r="R45" s="301">
        <f t="shared" si="18"/>
        <v>0</v>
      </c>
      <c r="S45" s="199">
        <f t="shared" si="18"/>
        <v>0</v>
      </c>
      <c r="T45" s="302">
        <f t="shared" si="18"/>
        <v>0</v>
      </c>
      <c r="U45" s="199">
        <f t="shared" si="19"/>
        <v>0</v>
      </c>
      <c r="V45" s="277">
        <f t="shared" si="1"/>
        <v>0</v>
      </c>
      <c r="W45" s="255">
        <f t="shared" si="2"/>
        <v>0</v>
      </c>
      <c r="X45" s="255">
        <f t="shared" si="3"/>
        <v>0</v>
      </c>
      <c r="Y45" s="278">
        <f t="shared" si="20"/>
        <v>0</v>
      </c>
      <c r="Z45" s="256">
        <f t="shared" si="4"/>
        <v>0</v>
      </c>
      <c r="AA45" s="187" t="str">
        <f t="shared" si="5"/>
        <v>ok</v>
      </c>
      <c r="AB45" s="38">
        <f t="shared" si="6"/>
        <v>0</v>
      </c>
      <c r="AC45" s="38">
        <f t="shared" si="21"/>
        <v>0</v>
      </c>
      <c r="AD45" s="38">
        <f t="shared" si="7"/>
        <v>0</v>
      </c>
      <c r="AE45" s="202">
        <f t="shared" si="8"/>
        <v>0</v>
      </c>
      <c r="AF45" s="203">
        <f t="shared" si="26"/>
        <v>0</v>
      </c>
      <c r="AG45" s="203">
        <f t="shared" si="26"/>
        <v>0</v>
      </c>
      <c r="AH45" s="204">
        <v>110</v>
      </c>
      <c r="AI45" s="205">
        <f t="shared" si="24"/>
        <v>0</v>
      </c>
      <c r="AJ45" s="206">
        <f t="shared" si="10"/>
        <v>0</v>
      </c>
      <c r="AK45" s="207">
        <f t="shared" si="11"/>
        <v>0</v>
      </c>
      <c r="AL45" s="205">
        <f t="shared" si="22"/>
        <v>0</v>
      </c>
      <c r="AM45" s="202">
        <f t="shared" si="12"/>
        <v>0</v>
      </c>
      <c r="AN45" s="208">
        <f t="shared" si="13"/>
        <v>0</v>
      </c>
      <c r="AO45" s="203">
        <f t="shared" si="14"/>
        <v>0</v>
      </c>
      <c r="AP45" s="203">
        <f t="shared" si="15"/>
        <v>0</v>
      </c>
      <c r="AQ45" s="208">
        <f t="shared" si="16"/>
        <v>0</v>
      </c>
      <c r="AR45" s="208">
        <f t="shared" si="17"/>
        <v>0</v>
      </c>
      <c r="AS45" s="208">
        <f t="shared" si="23"/>
        <v>0</v>
      </c>
      <c r="AT45" s="208">
        <f t="shared" si="23"/>
        <v>0</v>
      </c>
      <c r="AU45" s="209"/>
      <c r="AV45" s="210"/>
    </row>
    <row r="46" spans="1:50" ht="14.25" customHeight="1" thickBot="1" x14ac:dyDescent="0.2">
      <c r="A46" s="187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8" t="s">
        <v>641</v>
      </c>
      <c r="N46" s="187"/>
      <c r="O46" s="187"/>
      <c r="P46" s="259" t="s">
        <v>34</v>
      </c>
      <c r="Q46" s="260"/>
      <c r="R46" s="261"/>
      <c r="S46" s="257"/>
      <c r="T46" s="257"/>
      <c r="U46" s="257"/>
      <c r="V46" s="257"/>
      <c r="W46" s="257"/>
      <c r="X46" s="257"/>
      <c r="Y46" s="257"/>
      <c r="Z46" s="258">
        <f>SUM(Z6:Z45)</f>
        <v>7.7099999999999991</v>
      </c>
      <c r="AA46" s="209"/>
      <c r="AB46" s="209"/>
      <c r="AC46" s="209"/>
      <c r="AD46" s="209"/>
      <c r="AE46" s="209"/>
      <c r="AF46" s="209"/>
      <c r="AG46" s="209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209"/>
      <c r="AV46" s="210"/>
    </row>
    <row r="47" spans="1:50" ht="14.25" customHeight="1" x14ac:dyDescent="0.15">
      <c r="A47" s="187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379" t="s">
        <v>23</v>
      </c>
      <c r="Q47" s="380"/>
      <c r="R47" s="262" t="s">
        <v>33</v>
      </c>
      <c r="S47" s="263"/>
      <c r="T47" s="263"/>
      <c r="U47" s="263"/>
      <c r="V47" s="264">
        <f>Z46</f>
        <v>7.7099999999999991</v>
      </c>
      <c r="W47" s="265" t="s">
        <v>445</v>
      </c>
      <c r="X47" s="266">
        <v>0.1</v>
      </c>
      <c r="Y47" s="265"/>
      <c r="Z47" s="267">
        <f>ROUND(V47*0.1,2)</f>
        <v>0.77</v>
      </c>
      <c r="AA47" s="213"/>
      <c r="AB47" s="213"/>
      <c r="AC47" s="213"/>
      <c r="AD47" s="213"/>
      <c r="AE47" s="209"/>
      <c r="AF47" s="209"/>
      <c r="AG47" s="209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209"/>
      <c r="AV47" s="210"/>
    </row>
    <row r="48" spans="1:50" ht="14.25" customHeight="1" x14ac:dyDescent="0.15">
      <c r="A48" s="187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381" t="s">
        <v>24</v>
      </c>
      <c r="Q48" s="382"/>
      <c r="R48" s="268" t="s">
        <v>446</v>
      </c>
      <c r="S48" s="383" t="s">
        <v>643</v>
      </c>
      <c r="T48" s="383"/>
      <c r="U48" s="383"/>
      <c r="V48" s="383"/>
      <c r="W48" s="383"/>
      <c r="X48" s="383"/>
      <c r="Y48" s="384"/>
      <c r="Z48" s="40">
        <v>2.7</v>
      </c>
      <c r="AA48" s="187"/>
      <c r="AB48" s="187"/>
      <c r="AC48" s="187"/>
      <c r="AD48" s="187"/>
      <c r="AE48" s="213"/>
      <c r="AF48" s="213"/>
      <c r="AG48" s="213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211"/>
      <c r="AV48" s="212"/>
    </row>
    <row r="49" spans="1:47" ht="14.25" customHeight="1" x14ac:dyDescent="0.15">
      <c r="A49" s="187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381" t="s">
        <v>25</v>
      </c>
      <c r="Q49" s="382"/>
      <c r="R49" s="385" t="s">
        <v>571</v>
      </c>
      <c r="S49" s="386"/>
      <c r="T49" s="386"/>
      <c r="U49" s="386"/>
      <c r="V49" s="386"/>
      <c r="W49" s="386"/>
      <c r="X49" s="386"/>
      <c r="Y49" s="387"/>
      <c r="Z49" s="40">
        <v>3</v>
      </c>
      <c r="AA49" s="187"/>
      <c r="AB49" s="187"/>
      <c r="AC49" s="187"/>
      <c r="AD49" s="187"/>
      <c r="AE49" s="187"/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</row>
    <row r="50" spans="1:47" ht="14.25" customHeight="1" x14ac:dyDescent="0.15">
      <c r="A50" s="187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381" t="s">
        <v>26</v>
      </c>
      <c r="Q50" s="382"/>
      <c r="R50" s="328"/>
      <c r="S50" s="383"/>
      <c r="T50" s="383"/>
      <c r="U50" s="383"/>
      <c r="V50" s="383"/>
      <c r="W50" s="383"/>
      <c r="X50" s="383"/>
      <c r="Y50" s="384"/>
      <c r="Z50" s="40">
        <v>0</v>
      </c>
      <c r="AA50" s="187"/>
      <c r="AB50" s="187"/>
      <c r="AC50" s="187"/>
      <c r="AD50" s="187"/>
      <c r="AE50" s="187"/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</row>
    <row r="51" spans="1:47" ht="14.25" customHeight="1" thickBot="1" x14ac:dyDescent="0.2">
      <c r="A51" s="187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388" t="s">
        <v>34</v>
      </c>
      <c r="Q51" s="389"/>
      <c r="R51" s="260"/>
      <c r="S51" s="261"/>
      <c r="T51" s="261"/>
      <c r="U51" s="261"/>
      <c r="V51" s="261"/>
      <c r="W51" s="261"/>
      <c r="X51" s="261"/>
      <c r="Y51" s="261"/>
      <c r="Z51" s="270">
        <f>SUM(Z47:Z50)</f>
        <v>6.4700000000000006</v>
      </c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</row>
    <row r="52" spans="1:47" ht="14.25" customHeight="1" x14ac:dyDescent="0.15">
      <c r="A52" s="187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390"/>
      <c r="Q52" s="391"/>
      <c r="R52" s="318"/>
      <c r="S52" s="392"/>
      <c r="T52" s="393"/>
      <c r="U52" s="393"/>
      <c r="V52" s="393"/>
      <c r="W52" s="393"/>
      <c r="X52" s="393"/>
      <c r="Y52" s="394"/>
      <c r="Z52" s="164"/>
      <c r="AA52" s="187"/>
      <c r="AB52" s="187"/>
      <c r="AC52" s="187"/>
      <c r="AD52" s="187"/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</row>
    <row r="53" spans="1:47" ht="14.25" customHeight="1" x14ac:dyDescent="0.15">
      <c r="A53" s="187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381" t="s">
        <v>35</v>
      </c>
      <c r="Q53" s="382"/>
      <c r="R53" s="271"/>
      <c r="S53" s="272"/>
      <c r="T53" s="272"/>
      <c r="U53" s="272"/>
      <c r="V53" s="272"/>
      <c r="W53" s="272"/>
      <c r="X53" s="272"/>
      <c r="Y53" s="272"/>
      <c r="Z53" s="275">
        <f>Z46+Z51+Z52</f>
        <v>14.18</v>
      </c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</row>
    <row r="54" spans="1:47" ht="14.25" customHeight="1" thickBot="1" x14ac:dyDescent="0.2">
      <c r="A54" s="187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388" t="s">
        <v>27</v>
      </c>
      <c r="Q54" s="389"/>
      <c r="R54" s="273" t="s">
        <v>28</v>
      </c>
      <c r="S54" s="274"/>
      <c r="T54" s="274"/>
      <c r="U54" s="274"/>
      <c r="V54" s="159">
        <v>30</v>
      </c>
      <c r="W54" s="261" t="s">
        <v>447</v>
      </c>
      <c r="X54" s="276">
        <f>IF(V54=0,0,Z53)</f>
        <v>14.18</v>
      </c>
      <c r="Y54" s="261" t="s">
        <v>448</v>
      </c>
      <c r="Z54" s="270">
        <f>V54-X54</f>
        <v>15.82</v>
      </c>
      <c r="AA54" s="187" t="str">
        <f>IF(Z54&gt;0,"ok","out")</f>
        <v>ok</v>
      </c>
      <c r="AB54" s="187"/>
      <c r="AC54" s="187"/>
      <c r="AD54" s="187"/>
      <c r="AE54" s="187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</row>
    <row r="55" spans="1:47" ht="14.25" customHeight="1" x14ac:dyDescent="0.15">
      <c r="A55" s="187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367" t="s">
        <v>569</v>
      </c>
      <c r="Q55" s="368"/>
      <c r="R55" s="373"/>
      <c r="S55" s="373"/>
      <c r="T55" s="373"/>
      <c r="U55" s="373"/>
      <c r="V55" s="373"/>
      <c r="W55" s="373"/>
      <c r="X55" s="373"/>
      <c r="Y55" s="373"/>
      <c r="Z55" s="374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</row>
    <row r="56" spans="1:47" ht="14.25" customHeight="1" x14ac:dyDescent="0.15">
      <c r="A56" s="187"/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369"/>
      <c r="Q56" s="370"/>
      <c r="R56" s="375"/>
      <c r="S56" s="375"/>
      <c r="T56" s="375"/>
      <c r="U56" s="375"/>
      <c r="V56" s="375"/>
      <c r="W56" s="375"/>
      <c r="X56" s="375"/>
      <c r="Y56" s="375"/>
      <c r="Z56" s="376"/>
      <c r="AA56" s="187"/>
      <c r="AB56" s="187"/>
      <c r="AC56" s="187"/>
      <c r="AD56" s="187"/>
      <c r="AE56" s="187"/>
      <c r="AF56" s="187"/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</row>
    <row r="57" spans="1:47" ht="14.25" customHeight="1" thickBot="1" x14ac:dyDescent="0.2">
      <c r="A57" s="187"/>
      <c r="B57" s="187"/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371"/>
      <c r="Q57" s="372"/>
      <c r="R57" s="377"/>
      <c r="S57" s="377"/>
      <c r="T57" s="377"/>
      <c r="U57" s="377"/>
      <c r="V57" s="377"/>
      <c r="W57" s="377"/>
      <c r="X57" s="377"/>
      <c r="Y57" s="377"/>
      <c r="Z57" s="378"/>
      <c r="AA57" s="187"/>
      <c r="AB57" s="187"/>
      <c r="AC57" s="187"/>
      <c r="AD57" s="187"/>
      <c r="AE57" s="187"/>
      <c r="AF57" s="187"/>
      <c r="AG57" s="187"/>
      <c r="AH57" s="187"/>
      <c r="AI57" s="187"/>
      <c r="AJ57" s="187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</row>
    <row r="58" spans="1:47" x14ac:dyDescent="0.15">
      <c r="A58" s="187"/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217"/>
      <c r="Q58" s="217"/>
      <c r="R58" s="217"/>
      <c r="S58" s="217"/>
      <c r="T58" s="217"/>
      <c r="U58" s="217"/>
      <c r="V58" s="217" t="s">
        <v>449</v>
      </c>
      <c r="W58" s="217"/>
      <c r="X58" s="217"/>
      <c r="Y58" s="217"/>
      <c r="Z58" s="218"/>
      <c r="AA58" s="187"/>
      <c r="AB58" s="187"/>
      <c r="AC58" s="187"/>
      <c r="AD58" s="187"/>
      <c r="AE58" s="187"/>
      <c r="AF58" s="187"/>
      <c r="AG58" s="187"/>
      <c r="AH58" s="187"/>
      <c r="AI58" s="187"/>
      <c r="AJ58" s="187"/>
      <c r="AK58" s="187"/>
      <c r="AL58" s="187"/>
      <c r="AM58" s="187"/>
      <c r="AN58" s="187"/>
      <c r="AO58" s="187"/>
      <c r="AP58" s="187"/>
      <c r="AQ58" s="187"/>
      <c r="AR58" s="187"/>
      <c r="AS58" s="187"/>
      <c r="AT58" s="187"/>
      <c r="AU58" s="187"/>
    </row>
    <row r="59" spans="1:47" x14ac:dyDescent="0.15">
      <c r="A59" s="187"/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 t="s">
        <v>570</v>
      </c>
      <c r="W59" s="187"/>
      <c r="X59" s="187"/>
      <c r="Y59" s="187"/>
      <c r="Z59" s="187"/>
      <c r="AA59" s="187"/>
      <c r="AB59" s="187"/>
      <c r="AC59" s="187"/>
      <c r="AD59" s="187"/>
      <c r="AE59" s="187"/>
      <c r="AF59" s="187"/>
      <c r="AG59" s="187"/>
      <c r="AH59" s="187"/>
      <c r="AI59" s="187"/>
      <c r="AJ59" s="187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</row>
  </sheetData>
  <sheetProtection password="CC1F" sheet="1" objects="1" scenarios="1" selectLockedCells="1"/>
  <mergeCells count="31">
    <mergeCell ref="P55:Q57"/>
    <mergeCell ref="R55:Z55"/>
    <mergeCell ref="R56:Z56"/>
    <mergeCell ref="R57:Z57"/>
    <mergeCell ref="P47:Q47"/>
    <mergeCell ref="P48:Q48"/>
    <mergeCell ref="S48:Y48"/>
    <mergeCell ref="P49:Q49"/>
    <mergeCell ref="R49:Y49"/>
    <mergeCell ref="P50:Q50"/>
    <mergeCell ref="S50:Y50"/>
    <mergeCell ref="P51:Q51"/>
    <mergeCell ref="P52:Q52"/>
    <mergeCell ref="S52:Y52"/>
    <mergeCell ref="P53:Q53"/>
    <mergeCell ref="P54:Q54"/>
    <mergeCell ref="G4:G5"/>
    <mergeCell ref="H4:I4"/>
    <mergeCell ref="P4:P5"/>
    <mergeCell ref="Q4:R4"/>
    <mergeCell ref="AA4:AA5"/>
    <mergeCell ref="H5:I5"/>
    <mergeCell ref="Q5:R5"/>
    <mergeCell ref="P2:W3"/>
    <mergeCell ref="AE2:AG2"/>
    <mergeCell ref="AS2:AT2"/>
    <mergeCell ref="B3:D3"/>
    <mergeCell ref="X3:Z3"/>
    <mergeCell ref="AO3:AP3"/>
    <mergeCell ref="AQ3:AR3"/>
    <mergeCell ref="AS3:AT3"/>
  </mergeCells>
  <phoneticPr fontId="3"/>
  <conditionalFormatting sqref="K6:L45">
    <cfRule type="expression" dxfId="2" priority="3">
      <formula>$J6&gt;1</formula>
    </cfRule>
  </conditionalFormatting>
  <conditionalFormatting sqref="H6:N45">
    <cfRule type="expression" dxfId="1" priority="2">
      <formula>$F6=0</formula>
    </cfRule>
  </conditionalFormatting>
  <conditionalFormatting sqref="J6:J45">
    <cfRule type="expression" dxfId="0" priority="1">
      <formula>$J6&lt;1</formula>
    </cfRule>
  </conditionalFormatting>
  <dataValidations count="8">
    <dataValidation type="list" allowBlank="1" showInputMessage="1" showErrorMessage="1" errorTitle="戸数が入力されています。" error="戸数が空欄のみ入力ができます。" sqref="L6:L45">
      <formula1>使用水量</formula1>
    </dataValidation>
    <dataValidation type="whole" operator="greaterThanOrEqual" allowBlank="1" showInputMessage="1" showErrorMessage="1" sqref="M6:M45">
      <formula1>1</formula1>
    </dataValidation>
    <dataValidation type="list" allowBlank="1" showInputMessage="1" showErrorMessage="1" sqref="H6:I45">
      <formula1>口径</formula1>
    </dataValidation>
    <dataValidation type="whole" allowBlank="1" showErrorMessage="1" errorTitle="入力できません。" error="1戸の場合は栓数に入力します。" sqref="J6:J45">
      <formula1>2</formula1>
      <formula2>599</formula2>
    </dataValidation>
    <dataValidation type="list" allowBlank="1" showInputMessage="1" showErrorMessage="1" sqref="V54">
      <formula1>"20,30"</formula1>
    </dataValidation>
    <dataValidation type="list" allowBlank="1" showInputMessage="1" showErrorMessage="1" sqref="Z49">
      <formula1>所要水頭</formula1>
    </dataValidation>
    <dataValidation type="list" allowBlank="1" showInputMessage="1" showErrorMessage="1" sqref="AH6:AH45">
      <formula1>流速計数</formula1>
    </dataValidation>
    <dataValidation type="custom" allowBlank="1" showInputMessage="1" showErrorMessage="1" errorTitle="戸数が入力されています。" error="戸数が空欄のみ入力ができます。" sqref="K6:K45">
      <formula1>J6=0</formula1>
    </dataValidation>
  </dataValidations>
  <pageMargins left="0.78740157480314965" right="0" top="0.59055118110236227" bottom="0.59055118110236227" header="0.59055118110236227" footer="0.51181102362204722"/>
  <pageSetup paperSize="9" scale="105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U28"/>
  <sheetViews>
    <sheetView showGridLines="0" showRowColHeaders="0" zoomScale="80" zoomScaleNormal="80" workbookViewId="0">
      <selection activeCell="A3" sqref="A3"/>
    </sheetView>
  </sheetViews>
  <sheetFormatPr defaultRowHeight="13.5" x14ac:dyDescent="0.15"/>
  <cols>
    <col min="1" max="1" width="5.25" style="15" bestFit="1" customWidth="1"/>
    <col min="2" max="2" width="6.5" style="15" customWidth="1"/>
    <col min="3" max="3" width="6.5" style="15" bestFit="1" customWidth="1"/>
    <col min="4" max="4" width="11.625" style="15" bestFit="1" customWidth="1"/>
    <col min="5" max="5" width="4.5" style="15" bestFit="1" customWidth="1"/>
    <col min="6" max="6" width="16.25" style="15" bestFit="1" customWidth="1"/>
    <col min="7" max="15" width="7.75" style="15" customWidth="1"/>
    <col min="16" max="45" width="7.75" style="15" hidden="1" customWidth="1"/>
    <col min="46" max="47" width="9.375" style="15" bestFit="1" customWidth="1"/>
    <col min="48" max="16384" width="9" style="15"/>
  </cols>
  <sheetData>
    <row r="1" spans="1:47" s="4" customFormat="1" ht="14.25" x14ac:dyDescent="0.15">
      <c r="A1" s="1" t="s">
        <v>0</v>
      </c>
      <c r="B1" s="395" t="s">
        <v>6</v>
      </c>
      <c r="C1" s="396"/>
      <c r="D1" s="2" t="s">
        <v>40</v>
      </c>
      <c r="E1" s="398" t="s">
        <v>46</v>
      </c>
      <c r="F1" s="399"/>
      <c r="G1" s="400" t="s">
        <v>50</v>
      </c>
      <c r="H1" s="401"/>
      <c r="I1" s="401"/>
      <c r="J1" s="401"/>
      <c r="K1" s="401"/>
      <c r="L1" s="401"/>
      <c r="M1" s="401"/>
      <c r="N1" s="401"/>
      <c r="O1" s="402"/>
      <c r="P1" s="237"/>
      <c r="Q1" s="238"/>
      <c r="R1" s="238"/>
      <c r="S1" s="238"/>
      <c r="T1" s="23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9"/>
      <c r="AT1" s="1" t="s">
        <v>97</v>
      </c>
      <c r="AU1" s="3" t="s">
        <v>98</v>
      </c>
    </row>
    <row r="2" spans="1:47" ht="14.25" x14ac:dyDescent="0.15">
      <c r="A2" s="5"/>
      <c r="B2" s="6">
        <v>0</v>
      </c>
      <c r="C2" s="7" t="s">
        <v>7</v>
      </c>
      <c r="D2" s="8">
        <v>1</v>
      </c>
      <c r="E2" s="9">
        <v>140</v>
      </c>
      <c r="F2" s="10" t="s">
        <v>47</v>
      </c>
      <c r="G2" s="11" t="s">
        <v>0</v>
      </c>
      <c r="H2" s="12" t="s">
        <v>21</v>
      </c>
      <c r="I2" s="12" t="s">
        <v>31</v>
      </c>
      <c r="J2" s="12" t="s">
        <v>573</v>
      </c>
      <c r="K2" s="12" t="s">
        <v>9</v>
      </c>
      <c r="L2" s="12" t="s">
        <v>32</v>
      </c>
      <c r="M2" s="12" t="s">
        <v>5</v>
      </c>
      <c r="N2" s="13" t="s">
        <v>13</v>
      </c>
      <c r="O2" s="243" t="s">
        <v>12</v>
      </c>
      <c r="P2" s="240" t="str">
        <f>水理計算書!C14</f>
        <v>予備1</v>
      </c>
      <c r="Q2" s="168" t="str">
        <f>水理計算書!C15</f>
        <v>予備2</v>
      </c>
      <c r="R2" s="168" t="str">
        <f>水理計算書!C16</f>
        <v>予備3</v>
      </c>
      <c r="S2" s="168" t="str">
        <f>水理計算書!C17</f>
        <v>予備4</v>
      </c>
      <c r="T2" s="186" t="str">
        <f>水理計算書!C18</f>
        <v>予備5</v>
      </c>
      <c r="U2" s="230" t="s">
        <v>456</v>
      </c>
      <c r="V2" s="182" t="s">
        <v>457</v>
      </c>
      <c r="W2" s="182" t="s">
        <v>458</v>
      </c>
      <c r="X2" s="182" t="s">
        <v>459</v>
      </c>
      <c r="Y2" s="182" t="s">
        <v>460</v>
      </c>
      <c r="Z2" s="182" t="s">
        <v>461</v>
      </c>
      <c r="AA2" s="182" t="s">
        <v>462</v>
      </c>
      <c r="AB2" s="182" t="s">
        <v>463</v>
      </c>
      <c r="AC2" s="182" t="s">
        <v>464</v>
      </c>
      <c r="AD2" s="182" t="s">
        <v>465</v>
      </c>
      <c r="AE2" s="182" t="s">
        <v>466</v>
      </c>
      <c r="AF2" s="182" t="s">
        <v>467</v>
      </c>
      <c r="AG2" s="182" t="s">
        <v>468</v>
      </c>
      <c r="AH2" s="182" t="s">
        <v>469</v>
      </c>
      <c r="AI2" s="182" t="s">
        <v>470</v>
      </c>
      <c r="AJ2" s="182" t="s">
        <v>471</v>
      </c>
      <c r="AK2" s="182" t="s">
        <v>472</v>
      </c>
      <c r="AL2" s="182" t="s">
        <v>473</v>
      </c>
      <c r="AM2" s="182" t="s">
        <v>474</v>
      </c>
      <c r="AN2" s="182" t="s">
        <v>475</v>
      </c>
      <c r="AO2" s="182" t="s">
        <v>476</v>
      </c>
      <c r="AP2" s="182" t="s">
        <v>477</v>
      </c>
      <c r="AQ2" s="182" t="s">
        <v>478</v>
      </c>
      <c r="AR2" s="182" t="s">
        <v>479</v>
      </c>
      <c r="AS2" s="182" t="s">
        <v>480</v>
      </c>
      <c r="AT2" s="176">
        <v>2</v>
      </c>
      <c r="AU2" s="14"/>
    </row>
    <row r="3" spans="1:47" ht="14.25" x14ac:dyDescent="0.15">
      <c r="A3" s="5">
        <v>13</v>
      </c>
      <c r="B3" s="6">
        <v>2</v>
      </c>
      <c r="C3" s="16">
        <v>5</v>
      </c>
      <c r="D3" s="8">
        <v>2</v>
      </c>
      <c r="E3" s="9">
        <v>130</v>
      </c>
      <c r="F3" s="10" t="s">
        <v>450</v>
      </c>
      <c r="G3" s="17">
        <v>13</v>
      </c>
      <c r="H3" s="18">
        <v>0.5</v>
      </c>
      <c r="I3" s="18">
        <v>0.12</v>
      </c>
      <c r="J3" s="18">
        <v>1.5</v>
      </c>
      <c r="K3" s="18">
        <v>0.12</v>
      </c>
      <c r="L3" s="18">
        <v>3</v>
      </c>
      <c r="M3" s="18">
        <v>3</v>
      </c>
      <c r="N3" s="19">
        <v>0.5</v>
      </c>
      <c r="O3" s="244">
        <v>3</v>
      </c>
      <c r="P3" s="180">
        <f>水理計算書!$D14</f>
        <v>0</v>
      </c>
      <c r="Q3" s="184">
        <f>水理計算書!$D115</f>
        <v>0</v>
      </c>
      <c r="R3" s="184">
        <f>水理計算書!$D16</f>
        <v>0</v>
      </c>
      <c r="S3" s="184">
        <f>水理計算書!$D17</f>
        <v>0</v>
      </c>
      <c r="T3" s="233">
        <f>水理計算書!$D18</f>
        <v>0</v>
      </c>
      <c r="U3" s="184">
        <f>水理計算書!$D19</f>
        <v>1000</v>
      </c>
      <c r="V3" s="19">
        <f>水理計算書!$D20</f>
        <v>10</v>
      </c>
      <c r="W3" s="19">
        <f>水理計算書!$D21</f>
        <v>2</v>
      </c>
      <c r="X3" s="19">
        <f>水理計算書!$D22</f>
        <v>2</v>
      </c>
      <c r="Y3" s="19">
        <f>水理計算書!$D23</f>
        <v>1</v>
      </c>
      <c r="Z3" s="19">
        <f>水理計算書!$D24</f>
        <v>8.4</v>
      </c>
      <c r="AA3" s="19">
        <f>水理計算書!$D25</f>
        <v>1.9</v>
      </c>
      <c r="AB3" s="19">
        <f>水理計算書!$D26</f>
        <v>10.5</v>
      </c>
      <c r="AC3" s="19">
        <f>水理計算書!$D27</f>
        <v>0.3</v>
      </c>
      <c r="AD3" s="19">
        <f>水理計算書!$D28</f>
        <v>0.3</v>
      </c>
      <c r="AE3" s="19">
        <f>水理計算書!$D29</f>
        <v>0.3</v>
      </c>
      <c r="AF3" s="19">
        <f>水理計算書!$D30</f>
        <v>22.8</v>
      </c>
      <c r="AG3" s="19">
        <f>水理計算書!$D31</f>
        <v>3.5</v>
      </c>
      <c r="AH3" s="19">
        <f>水理計算書!$D32</f>
        <v>6.4</v>
      </c>
      <c r="AI3" s="19">
        <f>水理計算書!$D33</f>
        <v>0</v>
      </c>
      <c r="AJ3" s="19">
        <f>水理計算書!$D34</f>
        <v>0</v>
      </c>
      <c r="AK3" s="19">
        <f>水理計算書!$D35</f>
        <v>0</v>
      </c>
      <c r="AL3" s="19">
        <f>水理計算書!$D36</f>
        <v>0</v>
      </c>
      <c r="AM3" s="19">
        <f>水理計算書!$D37</f>
        <v>0</v>
      </c>
      <c r="AN3" s="19">
        <f>水理計算書!$D38</f>
        <v>0</v>
      </c>
      <c r="AO3" s="19">
        <f>水理計算書!$D39</f>
        <v>0</v>
      </c>
      <c r="AP3" s="19">
        <f>水理計算書!$D40</f>
        <v>0</v>
      </c>
      <c r="AQ3" s="19">
        <f>水理計算書!$D41</f>
        <v>0</v>
      </c>
      <c r="AR3" s="19">
        <f>水理計算書!$D42</f>
        <v>0</v>
      </c>
      <c r="AS3" s="19">
        <f>水理計算書!$D43</f>
        <v>0</v>
      </c>
      <c r="AT3" s="177">
        <v>3</v>
      </c>
      <c r="AU3" s="14">
        <v>8</v>
      </c>
    </row>
    <row r="4" spans="1:47" ht="15" thickBot="1" x14ac:dyDescent="0.2">
      <c r="A4" s="5">
        <v>20</v>
      </c>
      <c r="B4" s="6">
        <v>6</v>
      </c>
      <c r="C4" s="16">
        <v>10</v>
      </c>
      <c r="D4" s="8">
        <v>3</v>
      </c>
      <c r="E4" s="9">
        <v>120</v>
      </c>
      <c r="F4" s="10" t="s">
        <v>451</v>
      </c>
      <c r="G4" s="20">
        <v>20</v>
      </c>
      <c r="H4" s="21">
        <v>0.5</v>
      </c>
      <c r="I4" s="21">
        <v>0.15</v>
      </c>
      <c r="J4" s="21">
        <v>2</v>
      </c>
      <c r="K4" s="21">
        <v>0.15</v>
      </c>
      <c r="L4" s="21">
        <v>8</v>
      </c>
      <c r="M4" s="21">
        <v>4</v>
      </c>
      <c r="N4" s="22">
        <v>0.5</v>
      </c>
      <c r="O4" s="245">
        <v>4</v>
      </c>
      <c r="P4" s="181">
        <f t="shared" ref="P4:T12" si="0">P3</f>
        <v>0</v>
      </c>
      <c r="Q4" s="185">
        <f t="shared" si="0"/>
        <v>0</v>
      </c>
      <c r="R4" s="185">
        <f t="shared" si="0"/>
        <v>0</v>
      </c>
      <c r="S4" s="185">
        <f t="shared" si="0"/>
        <v>0</v>
      </c>
      <c r="T4" s="234">
        <f t="shared" si="0"/>
        <v>0</v>
      </c>
      <c r="U4" s="185">
        <f>U3</f>
        <v>1000</v>
      </c>
      <c r="V4" s="22">
        <f t="shared" ref="V4:AS4" si="1">V3</f>
        <v>10</v>
      </c>
      <c r="W4" s="22">
        <f t="shared" si="1"/>
        <v>2</v>
      </c>
      <c r="X4" s="22">
        <f t="shared" si="1"/>
        <v>2</v>
      </c>
      <c r="Y4" s="22">
        <f t="shared" si="1"/>
        <v>1</v>
      </c>
      <c r="Z4" s="22">
        <f t="shared" si="1"/>
        <v>8.4</v>
      </c>
      <c r="AA4" s="22">
        <f t="shared" si="1"/>
        <v>1.9</v>
      </c>
      <c r="AB4" s="22">
        <f t="shared" si="1"/>
        <v>10.5</v>
      </c>
      <c r="AC4" s="22">
        <f t="shared" si="1"/>
        <v>0.3</v>
      </c>
      <c r="AD4" s="22">
        <f t="shared" si="1"/>
        <v>0.3</v>
      </c>
      <c r="AE4" s="22">
        <f t="shared" si="1"/>
        <v>0.3</v>
      </c>
      <c r="AF4" s="22">
        <f t="shared" si="1"/>
        <v>22.8</v>
      </c>
      <c r="AG4" s="22">
        <f t="shared" si="1"/>
        <v>3.5</v>
      </c>
      <c r="AH4" s="22">
        <f t="shared" si="1"/>
        <v>6.4</v>
      </c>
      <c r="AI4" s="22">
        <f t="shared" si="1"/>
        <v>0</v>
      </c>
      <c r="AJ4" s="22">
        <f t="shared" si="1"/>
        <v>0</v>
      </c>
      <c r="AK4" s="22">
        <f t="shared" si="1"/>
        <v>0</v>
      </c>
      <c r="AL4" s="22">
        <f t="shared" si="1"/>
        <v>0</v>
      </c>
      <c r="AM4" s="22">
        <f t="shared" si="1"/>
        <v>0</v>
      </c>
      <c r="AN4" s="22">
        <f t="shared" si="1"/>
        <v>0</v>
      </c>
      <c r="AO4" s="22">
        <f t="shared" si="1"/>
        <v>0</v>
      </c>
      <c r="AP4" s="22">
        <f t="shared" si="1"/>
        <v>0</v>
      </c>
      <c r="AQ4" s="22">
        <f t="shared" si="1"/>
        <v>0</v>
      </c>
      <c r="AR4" s="22">
        <f t="shared" si="1"/>
        <v>0</v>
      </c>
      <c r="AS4" s="22">
        <f t="shared" si="1"/>
        <v>0</v>
      </c>
      <c r="AT4" s="178">
        <v>5</v>
      </c>
      <c r="AU4" s="14">
        <v>12</v>
      </c>
    </row>
    <row r="5" spans="1:47" ht="14.25" x14ac:dyDescent="0.15">
      <c r="A5" s="5">
        <v>25</v>
      </c>
      <c r="B5" s="6">
        <v>11</v>
      </c>
      <c r="C5" s="16">
        <v>15</v>
      </c>
      <c r="D5" s="8">
        <v>4</v>
      </c>
      <c r="E5" s="9">
        <v>110</v>
      </c>
      <c r="F5" s="10" t="s">
        <v>48</v>
      </c>
      <c r="G5" s="17">
        <v>25</v>
      </c>
      <c r="H5" s="18">
        <v>0.5</v>
      </c>
      <c r="I5" s="18">
        <v>0.18</v>
      </c>
      <c r="J5" s="18">
        <v>3</v>
      </c>
      <c r="K5" s="18">
        <v>0.18</v>
      </c>
      <c r="L5" s="18">
        <v>12</v>
      </c>
      <c r="M5" s="18">
        <v>6</v>
      </c>
      <c r="N5" s="19">
        <v>0.5</v>
      </c>
      <c r="O5" s="244">
        <v>5</v>
      </c>
      <c r="P5" s="181">
        <f t="shared" si="0"/>
        <v>0</v>
      </c>
      <c r="Q5" s="185">
        <f t="shared" si="0"/>
        <v>0</v>
      </c>
      <c r="R5" s="185">
        <f t="shared" si="0"/>
        <v>0</v>
      </c>
      <c r="S5" s="185">
        <f t="shared" si="0"/>
        <v>0</v>
      </c>
      <c r="T5" s="234">
        <f t="shared" si="0"/>
        <v>0</v>
      </c>
      <c r="U5" s="185">
        <f t="shared" ref="U5:U12" si="2">U4</f>
        <v>1000</v>
      </c>
      <c r="V5" s="22">
        <f t="shared" ref="V5:V12" si="3">V4</f>
        <v>10</v>
      </c>
      <c r="W5" s="22">
        <f t="shared" ref="W5:W12" si="4">W4</f>
        <v>2</v>
      </c>
      <c r="X5" s="22">
        <f t="shared" ref="X5:X12" si="5">X4</f>
        <v>2</v>
      </c>
      <c r="Y5" s="22">
        <f t="shared" ref="Y5:Y12" si="6">Y4</f>
        <v>1</v>
      </c>
      <c r="Z5" s="22">
        <f t="shared" ref="Z5:Z12" si="7">Z4</f>
        <v>8.4</v>
      </c>
      <c r="AA5" s="22">
        <f t="shared" ref="AA5:AA12" si="8">AA4</f>
        <v>1.9</v>
      </c>
      <c r="AB5" s="22">
        <f t="shared" ref="AB5:AB12" si="9">AB4</f>
        <v>10.5</v>
      </c>
      <c r="AC5" s="22">
        <f t="shared" ref="AC5:AC12" si="10">AC4</f>
        <v>0.3</v>
      </c>
      <c r="AD5" s="22">
        <f t="shared" ref="AD5:AD12" si="11">AD4</f>
        <v>0.3</v>
      </c>
      <c r="AE5" s="22">
        <f t="shared" ref="AE5:AE12" si="12">AE4</f>
        <v>0.3</v>
      </c>
      <c r="AF5" s="22">
        <f t="shared" ref="AF5:AF12" si="13">AF4</f>
        <v>22.8</v>
      </c>
      <c r="AG5" s="22">
        <f t="shared" ref="AG5:AG12" si="14">AG4</f>
        <v>3.5</v>
      </c>
      <c r="AH5" s="22">
        <f t="shared" ref="AH5:AH12" si="15">AH4</f>
        <v>6.4</v>
      </c>
      <c r="AI5" s="22">
        <f t="shared" ref="AI5:AI12" si="16">AI4</f>
        <v>0</v>
      </c>
      <c r="AJ5" s="22">
        <f t="shared" ref="AJ5:AJ12" si="17">AJ4</f>
        <v>0</v>
      </c>
      <c r="AK5" s="22">
        <f t="shared" ref="AK5:AK12" si="18">AK4</f>
        <v>0</v>
      </c>
      <c r="AL5" s="22">
        <f t="shared" ref="AL5:AL12" si="19">AL4</f>
        <v>0</v>
      </c>
      <c r="AM5" s="22">
        <f t="shared" ref="AM5:AM12" si="20">AM4</f>
        <v>0</v>
      </c>
      <c r="AN5" s="22">
        <f t="shared" ref="AN5:AN12" si="21">AN4</f>
        <v>0</v>
      </c>
      <c r="AO5" s="22">
        <f t="shared" ref="AO5:AO12" si="22">AO4</f>
        <v>0</v>
      </c>
      <c r="AP5" s="22">
        <f t="shared" ref="AP5:AP12" si="23">AP4</f>
        <v>0</v>
      </c>
      <c r="AQ5" s="22">
        <f t="shared" ref="AQ5:AQ12" si="24">AQ4</f>
        <v>0</v>
      </c>
      <c r="AR5" s="22">
        <f t="shared" ref="AR5:AR12" si="25">AR4</f>
        <v>0</v>
      </c>
      <c r="AS5" s="22">
        <f t="shared" ref="AS5:AS12" si="26">AS4</f>
        <v>0</v>
      </c>
      <c r="AU5" s="14">
        <v>15</v>
      </c>
    </row>
    <row r="6" spans="1:47" ht="14.25" x14ac:dyDescent="0.15">
      <c r="A6" s="5">
        <v>30</v>
      </c>
      <c r="B6" s="6">
        <v>16</v>
      </c>
      <c r="C6" s="16">
        <v>20</v>
      </c>
      <c r="D6" s="8">
        <v>5</v>
      </c>
      <c r="E6" s="9">
        <v>100</v>
      </c>
      <c r="F6" s="10" t="s">
        <v>452</v>
      </c>
      <c r="G6" s="20">
        <v>30</v>
      </c>
      <c r="H6" s="21">
        <v>1</v>
      </c>
      <c r="I6" s="21">
        <v>0.24</v>
      </c>
      <c r="J6" s="21">
        <v>4</v>
      </c>
      <c r="K6" s="21">
        <v>0.24</v>
      </c>
      <c r="L6" s="21">
        <v>19</v>
      </c>
      <c r="M6" s="21">
        <v>11</v>
      </c>
      <c r="N6" s="23">
        <v>1</v>
      </c>
      <c r="O6" s="245">
        <v>8</v>
      </c>
      <c r="P6" s="181">
        <f t="shared" si="0"/>
        <v>0</v>
      </c>
      <c r="Q6" s="185">
        <f t="shared" si="0"/>
        <v>0</v>
      </c>
      <c r="R6" s="185">
        <f t="shared" si="0"/>
        <v>0</v>
      </c>
      <c r="S6" s="185">
        <f t="shared" si="0"/>
        <v>0</v>
      </c>
      <c r="T6" s="234">
        <f t="shared" si="0"/>
        <v>0</v>
      </c>
      <c r="U6" s="185">
        <f t="shared" si="2"/>
        <v>1000</v>
      </c>
      <c r="V6" s="22">
        <f t="shared" si="3"/>
        <v>10</v>
      </c>
      <c r="W6" s="22">
        <f t="shared" si="4"/>
        <v>2</v>
      </c>
      <c r="X6" s="22">
        <f t="shared" si="5"/>
        <v>2</v>
      </c>
      <c r="Y6" s="22">
        <f t="shared" si="6"/>
        <v>1</v>
      </c>
      <c r="Z6" s="22">
        <f t="shared" si="7"/>
        <v>8.4</v>
      </c>
      <c r="AA6" s="22">
        <f t="shared" si="8"/>
        <v>1.9</v>
      </c>
      <c r="AB6" s="22">
        <f t="shared" si="9"/>
        <v>10.5</v>
      </c>
      <c r="AC6" s="22">
        <f t="shared" si="10"/>
        <v>0.3</v>
      </c>
      <c r="AD6" s="22">
        <f t="shared" si="11"/>
        <v>0.3</v>
      </c>
      <c r="AE6" s="22">
        <f t="shared" si="12"/>
        <v>0.3</v>
      </c>
      <c r="AF6" s="22">
        <f t="shared" si="13"/>
        <v>22.8</v>
      </c>
      <c r="AG6" s="22">
        <f t="shared" si="14"/>
        <v>3.5</v>
      </c>
      <c r="AH6" s="22">
        <f t="shared" si="15"/>
        <v>6.4</v>
      </c>
      <c r="AI6" s="22">
        <f t="shared" si="16"/>
        <v>0</v>
      </c>
      <c r="AJ6" s="22">
        <f t="shared" si="17"/>
        <v>0</v>
      </c>
      <c r="AK6" s="22">
        <f t="shared" si="18"/>
        <v>0</v>
      </c>
      <c r="AL6" s="22">
        <f t="shared" si="19"/>
        <v>0</v>
      </c>
      <c r="AM6" s="22">
        <f t="shared" si="20"/>
        <v>0</v>
      </c>
      <c r="AN6" s="22">
        <f t="shared" si="21"/>
        <v>0</v>
      </c>
      <c r="AO6" s="22">
        <f t="shared" si="22"/>
        <v>0</v>
      </c>
      <c r="AP6" s="22">
        <f t="shared" si="23"/>
        <v>0</v>
      </c>
      <c r="AQ6" s="22">
        <f t="shared" si="24"/>
        <v>0</v>
      </c>
      <c r="AR6" s="22">
        <f t="shared" si="25"/>
        <v>0</v>
      </c>
      <c r="AS6" s="22">
        <f t="shared" si="26"/>
        <v>0</v>
      </c>
      <c r="AU6" s="14">
        <v>20</v>
      </c>
    </row>
    <row r="7" spans="1:47" ht="14.25" x14ac:dyDescent="0.15">
      <c r="A7" s="5">
        <v>40</v>
      </c>
      <c r="B7" s="6">
        <v>21</v>
      </c>
      <c r="C7" s="16">
        <v>30</v>
      </c>
      <c r="D7" s="8">
        <v>6</v>
      </c>
      <c r="E7" s="9">
        <v>90</v>
      </c>
      <c r="F7" s="10" t="s">
        <v>453</v>
      </c>
      <c r="G7" s="17">
        <v>40</v>
      </c>
      <c r="H7" s="18">
        <v>1</v>
      </c>
      <c r="I7" s="18">
        <v>0.3</v>
      </c>
      <c r="J7" s="18">
        <v>5</v>
      </c>
      <c r="K7" s="18">
        <v>0.3</v>
      </c>
      <c r="L7" s="18">
        <v>20</v>
      </c>
      <c r="M7" s="18">
        <v>20</v>
      </c>
      <c r="N7" s="19">
        <v>1</v>
      </c>
      <c r="O7" s="244">
        <v>11</v>
      </c>
      <c r="P7" s="181">
        <f t="shared" si="0"/>
        <v>0</v>
      </c>
      <c r="Q7" s="185">
        <f t="shared" si="0"/>
        <v>0</v>
      </c>
      <c r="R7" s="185">
        <f t="shared" si="0"/>
        <v>0</v>
      </c>
      <c r="S7" s="185">
        <f t="shared" si="0"/>
        <v>0</v>
      </c>
      <c r="T7" s="234">
        <f t="shared" si="0"/>
        <v>0</v>
      </c>
      <c r="U7" s="185">
        <f t="shared" si="2"/>
        <v>1000</v>
      </c>
      <c r="V7" s="22">
        <f t="shared" si="3"/>
        <v>10</v>
      </c>
      <c r="W7" s="22">
        <f t="shared" si="4"/>
        <v>2</v>
      </c>
      <c r="X7" s="22">
        <f t="shared" si="5"/>
        <v>2</v>
      </c>
      <c r="Y7" s="22">
        <f t="shared" si="6"/>
        <v>1</v>
      </c>
      <c r="Z7" s="22">
        <f t="shared" si="7"/>
        <v>8.4</v>
      </c>
      <c r="AA7" s="22">
        <f t="shared" si="8"/>
        <v>1.9</v>
      </c>
      <c r="AB7" s="22">
        <f t="shared" si="9"/>
        <v>10.5</v>
      </c>
      <c r="AC7" s="22">
        <f t="shared" si="10"/>
        <v>0.3</v>
      </c>
      <c r="AD7" s="22">
        <f t="shared" si="11"/>
        <v>0.3</v>
      </c>
      <c r="AE7" s="22">
        <f t="shared" si="12"/>
        <v>0.3</v>
      </c>
      <c r="AF7" s="22">
        <f t="shared" si="13"/>
        <v>22.8</v>
      </c>
      <c r="AG7" s="22">
        <f t="shared" si="14"/>
        <v>3.5</v>
      </c>
      <c r="AH7" s="22">
        <f t="shared" si="15"/>
        <v>6.4</v>
      </c>
      <c r="AI7" s="22">
        <f t="shared" si="16"/>
        <v>0</v>
      </c>
      <c r="AJ7" s="22">
        <f t="shared" si="17"/>
        <v>0</v>
      </c>
      <c r="AK7" s="22">
        <f t="shared" si="18"/>
        <v>0</v>
      </c>
      <c r="AL7" s="22">
        <f t="shared" si="19"/>
        <v>0</v>
      </c>
      <c r="AM7" s="22">
        <f t="shared" si="20"/>
        <v>0</v>
      </c>
      <c r="AN7" s="22">
        <f t="shared" si="21"/>
        <v>0</v>
      </c>
      <c r="AO7" s="22">
        <f t="shared" si="22"/>
        <v>0</v>
      </c>
      <c r="AP7" s="22">
        <f t="shared" si="23"/>
        <v>0</v>
      </c>
      <c r="AQ7" s="22">
        <f t="shared" si="24"/>
        <v>0</v>
      </c>
      <c r="AR7" s="22">
        <f t="shared" si="25"/>
        <v>0</v>
      </c>
      <c r="AS7" s="22">
        <f t="shared" si="26"/>
        <v>0</v>
      </c>
      <c r="AU7" s="14">
        <v>40</v>
      </c>
    </row>
    <row r="8" spans="1:47" ht="15" thickBot="1" x14ac:dyDescent="0.2">
      <c r="A8" s="5">
        <v>50</v>
      </c>
      <c r="B8" s="6">
        <v>31</v>
      </c>
      <c r="C8" s="16">
        <v>40</v>
      </c>
      <c r="D8" s="8">
        <v>7</v>
      </c>
      <c r="E8" s="24">
        <v>80</v>
      </c>
      <c r="F8" s="25" t="s">
        <v>453</v>
      </c>
      <c r="G8" s="20">
        <v>50</v>
      </c>
      <c r="H8" s="21">
        <v>1</v>
      </c>
      <c r="I8" s="21">
        <v>0.39</v>
      </c>
      <c r="J8" s="21" t="s">
        <v>454</v>
      </c>
      <c r="K8" s="21" t="s">
        <v>454</v>
      </c>
      <c r="L8" s="21">
        <v>20</v>
      </c>
      <c r="M8" s="21">
        <v>32</v>
      </c>
      <c r="N8" s="23">
        <v>1</v>
      </c>
      <c r="O8" s="245">
        <v>15</v>
      </c>
      <c r="P8" s="181">
        <f t="shared" si="0"/>
        <v>0</v>
      </c>
      <c r="Q8" s="185">
        <f t="shared" si="0"/>
        <v>0</v>
      </c>
      <c r="R8" s="185">
        <f t="shared" si="0"/>
        <v>0</v>
      </c>
      <c r="S8" s="185">
        <f t="shared" si="0"/>
        <v>0</v>
      </c>
      <c r="T8" s="234">
        <f t="shared" si="0"/>
        <v>0</v>
      </c>
      <c r="U8" s="185">
        <f t="shared" si="2"/>
        <v>1000</v>
      </c>
      <c r="V8" s="22">
        <f t="shared" si="3"/>
        <v>10</v>
      </c>
      <c r="W8" s="22">
        <f t="shared" si="4"/>
        <v>2</v>
      </c>
      <c r="X8" s="22">
        <f t="shared" si="5"/>
        <v>2</v>
      </c>
      <c r="Y8" s="22">
        <f t="shared" si="6"/>
        <v>1</v>
      </c>
      <c r="Z8" s="22">
        <f t="shared" si="7"/>
        <v>8.4</v>
      </c>
      <c r="AA8" s="22">
        <f t="shared" si="8"/>
        <v>1.9</v>
      </c>
      <c r="AB8" s="22">
        <f t="shared" si="9"/>
        <v>10.5</v>
      </c>
      <c r="AC8" s="22">
        <f t="shared" si="10"/>
        <v>0.3</v>
      </c>
      <c r="AD8" s="22">
        <f t="shared" si="11"/>
        <v>0.3</v>
      </c>
      <c r="AE8" s="22">
        <f t="shared" si="12"/>
        <v>0.3</v>
      </c>
      <c r="AF8" s="22">
        <f t="shared" si="13"/>
        <v>22.8</v>
      </c>
      <c r="AG8" s="22">
        <f t="shared" si="14"/>
        <v>3.5</v>
      </c>
      <c r="AH8" s="22">
        <f t="shared" si="15"/>
        <v>6.4</v>
      </c>
      <c r="AI8" s="22">
        <f t="shared" si="16"/>
        <v>0</v>
      </c>
      <c r="AJ8" s="22">
        <f t="shared" si="17"/>
        <v>0</v>
      </c>
      <c r="AK8" s="22">
        <f t="shared" si="18"/>
        <v>0</v>
      </c>
      <c r="AL8" s="22">
        <f t="shared" si="19"/>
        <v>0</v>
      </c>
      <c r="AM8" s="22">
        <f t="shared" si="20"/>
        <v>0</v>
      </c>
      <c r="AN8" s="22">
        <f t="shared" si="21"/>
        <v>0</v>
      </c>
      <c r="AO8" s="22">
        <f t="shared" si="22"/>
        <v>0</v>
      </c>
      <c r="AP8" s="22">
        <f t="shared" si="23"/>
        <v>0</v>
      </c>
      <c r="AQ8" s="22">
        <f t="shared" si="24"/>
        <v>0</v>
      </c>
      <c r="AR8" s="22">
        <f t="shared" si="25"/>
        <v>0</v>
      </c>
      <c r="AS8" s="22">
        <f t="shared" si="26"/>
        <v>0</v>
      </c>
      <c r="AU8" s="26">
        <v>70</v>
      </c>
    </row>
    <row r="9" spans="1:47" ht="14.25" x14ac:dyDescent="0.15">
      <c r="A9" s="5">
        <v>65</v>
      </c>
      <c r="B9" s="6">
        <v>41</v>
      </c>
      <c r="C9" s="16">
        <v>50</v>
      </c>
      <c r="D9" s="8">
        <v>8</v>
      </c>
      <c r="G9" s="169">
        <v>65</v>
      </c>
      <c r="H9" s="170" t="s">
        <v>582</v>
      </c>
      <c r="I9" s="170" t="s">
        <v>582</v>
      </c>
      <c r="J9" s="170" t="s">
        <v>582</v>
      </c>
      <c r="K9" s="170" t="s">
        <v>582</v>
      </c>
      <c r="L9" s="170" t="s">
        <v>582</v>
      </c>
      <c r="M9" s="170" t="s">
        <v>582</v>
      </c>
      <c r="N9" s="170" t="s">
        <v>582</v>
      </c>
      <c r="O9" s="246" t="s">
        <v>582</v>
      </c>
      <c r="P9" s="181">
        <f t="shared" si="0"/>
        <v>0</v>
      </c>
      <c r="Q9" s="185">
        <f t="shared" si="0"/>
        <v>0</v>
      </c>
      <c r="R9" s="185">
        <f t="shared" si="0"/>
        <v>0</v>
      </c>
      <c r="S9" s="185">
        <f t="shared" si="0"/>
        <v>0</v>
      </c>
      <c r="T9" s="234">
        <f t="shared" si="0"/>
        <v>0</v>
      </c>
      <c r="U9" s="185">
        <f t="shared" si="2"/>
        <v>1000</v>
      </c>
      <c r="V9" s="22">
        <f t="shared" si="3"/>
        <v>10</v>
      </c>
      <c r="W9" s="22">
        <f t="shared" si="4"/>
        <v>2</v>
      </c>
      <c r="X9" s="22">
        <f t="shared" si="5"/>
        <v>2</v>
      </c>
      <c r="Y9" s="22">
        <f t="shared" si="6"/>
        <v>1</v>
      </c>
      <c r="Z9" s="22">
        <f t="shared" si="7"/>
        <v>8.4</v>
      </c>
      <c r="AA9" s="22">
        <f t="shared" si="8"/>
        <v>1.9</v>
      </c>
      <c r="AB9" s="22">
        <f t="shared" si="9"/>
        <v>10.5</v>
      </c>
      <c r="AC9" s="22">
        <f t="shared" si="10"/>
        <v>0.3</v>
      </c>
      <c r="AD9" s="22">
        <f t="shared" si="11"/>
        <v>0.3</v>
      </c>
      <c r="AE9" s="22">
        <f t="shared" si="12"/>
        <v>0.3</v>
      </c>
      <c r="AF9" s="22">
        <f t="shared" si="13"/>
        <v>22.8</v>
      </c>
      <c r="AG9" s="22">
        <f t="shared" si="14"/>
        <v>3.5</v>
      </c>
      <c r="AH9" s="22">
        <f t="shared" si="15"/>
        <v>6.4</v>
      </c>
      <c r="AI9" s="22">
        <f t="shared" si="16"/>
        <v>0</v>
      </c>
      <c r="AJ9" s="22">
        <f t="shared" si="17"/>
        <v>0</v>
      </c>
      <c r="AK9" s="22">
        <f t="shared" si="18"/>
        <v>0</v>
      </c>
      <c r="AL9" s="22">
        <f t="shared" si="19"/>
        <v>0</v>
      </c>
      <c r="AM9" s="22">
        <f t="shared" si="20"/>
        <v>0</v>
      </c>
      <c r="AN9" s="22">
        <f t="shared" si="21"/>
        <v>0</v>
      </c>
      <c r="AO9" s="22">
        <f t="shared" si="22"/>
        <v>0</v>
      </c>
      <c r="AP9" s="22">
        <f t="shared" si="23"/>
        <v>0</v>
      </c>
      <c r="AQ9" s="22">
        <f t="shared" si="24"/>
        <v>0</v>
      </c>
      <c r="AR9" s="22">
        <f t="shared" si="25"/>
        <v>0</v>
      </c>
      <c r="AS9" s="22">
        <f t="shared" si="26"/>
        <v>0</v>
      </c>
    </row>
    <row r="10" spans="1:47" ht="14.25" customHeight="1" x14ac:dyDescent="0.15">
      <c r="A10" s="5">
        <v>75</v>
      </c>
      <c r="B10" s="6">
        <v>51</v>
      </c>
      <c r="C10" s="16">
        <v>60</v>
      </c>
      <c r="D10" s="8">
        <v>9</v>
      </c>
      <c r="E10" s="397" t="s">
        <v>455</v>
      </c>
      <c r="F10" s="397"/>
      <c r="G10" s="172">
        <v>75</v>
      </c>
      <c r="H10" s="173">
        <v>1</v>
      </c>
      <c r="I10" s="173">
        <v>0.63</v>
      </c>
      <c r="J10" s="173" t="s">
        <v>581</v>
      </c>
      <c r="K10" s="173" t="s">
        <v>581</v>
      </c>
      <c r="L10" s="173">
        <v>25</v>
      </c>
      <c r="M10" s="173">
        <v>5.7</v>
      </c>
      <c r="N10" s="174">
        <v>1</v>
      </c>
      <c r="O10" s="247" t="s">
        <v>581</v>
      </c>
      <c r="P10" s="181">
        <f t="shared" si="0"/>
        <v>0</v>
      </c>
      <c r="Q10" s="185">
        <f t="shared" si="0"/>
        <v>0</v>
      </c>
      <c r="R10" s="185">
        <f t="shared" si="0"/>
        <v>0</v>
      </c>
      <c r="S10" s="185">
        <f t="shared" si="0"/>
        <v>0</v>
      </c>
      <c r="T10" s="234">
        <f t="shared" si="0"/>
        <v>0</v>
      </c>
      <c r="U10" s="185">
        <f t="shared" si="2"/>
        <v>1000</v>
      </c>
      <c r="V10" s="22">
        <f t="shared" si="3"/>
        <v>10</v>
      </c>
      <c r="W10" s="22">
        <f t="shared" si="4"/>
        <v>2</v>
      </c>
      <c r="X10" s="22">
        <f t="shared" si="5"/>
        <v>2</v>
      </c>
      <c r="Y10" s="22">
        <f t="shared" si="6"/>
        <v>1</v>
      </c>
      <c r="Z10" s="22">
        <f t="shared" si="7"/>
        <v>8.4</v>
      </c>
      <c r="AA10" s="22">
        <f t="shared" si="8"/>
        <v>1.9</v>
      </c>
      <c r="AB10" s="22">
        <f t="shared" si="9"/>
        <v>10.5</v>
      </c>
      <c r="AC10" s="22">
        <f t="shared" si="10"/>
        <v>0.3</v>
      </c>
      <c r="AD10" s="22">
        <f t="shared" si="11"/>
        <v>0.3</v>
      </c>
      <c r="AE10" s="22">
        <f t="shared" si="12"/>
        <v>0.3</v>
      </c>
      <c r="AF10" s="22">
        <f t="shared" si="13"/>
        <v>22.8</v>
      </c>
      <c r="AG10" s="22">
        <f t="shared" si="14"/>
        <v>3.5</v>
      </c>
      <c r="AH10" s="22">
        <f t="shared" si="15"/>
        <v>6.4</v>
      </c>
      <c r="AI10" s="22">
        <f t="shared" si="16"/>
        <v>0</v>
      </c>
      <c r="AJ10" s="22">
        <f t="shared" si="17"/>
        <v>0</v>
      </c>
      <c r="AK10" s="22">
        <f t="shared" si="18"/>
        <v>0</v>
      </c>
      <c r="AL10" s="22">
        <f t="shared" si="19"/>
        <v>0</v>
      </c>
      <c r="AM10" s="22">
        <f t="shared" si="20"/>
        <v>0</v>
      </c>
      <c r="AN10" s="22">
        <f t="shared" si="21"/>
        <v>0</v>
      </c>
      <c r="AO10" s="22">
        <f t="shared" si="22"/>
        <v>0</v>
      </c>
      <c r="AP10" s="22">
        <f t="shared" si="23"/>
        <v>0</v>
      </c>
      <c r="AQ10" s="22">
        <f t="shared" si="24"/>
        <v>0</v>
      </c>
      <c r="AR10" s="22">
        <f t="shared" si="25"/>
        <v>0</v>
      </c>
      <c r="AS10" s="22">
        <f t="shared" si="26"/>
        <v>0</v>
      </c>
    </row>
    <row r="11" spans="1:47" ht="14.25" x14ac:dyDescent="0.15">
      <c r="A11" s="5">
        <v>100</v>
      </c>
      <c r="B11" s="6">
        <v>61</v>
      </c>
      <c r="C11" s="16">
        <v>70</v>
      </c>
      <c r="D11" s="8">
        <v>10</v>
      </c>
      <c r="E11" s="397"/>
      <c r="F11" s="397"/>
      <c r="G11" s="169">
        <v>100</v>
      </c>
      <c r="H11" s="170">
        <v>1</v>
      </c>
      <c r="I11" s="170">
        <v>0.81</v>
      </c>
      <c r="J11" s="170" t="s">
        <v>582</v>
      </c>
      <c r="K11" s="170" t="s">
        <v>582</v>
      </c>
      <c r="L11" s="170">
        <v>30</v>
      </c>
      <c r="M11" s="170">
        <v>7.6</v>
      </c>
      <c r="N11" s="171">
        <v>1</v>
      </c>
      <c r="O11" s="246" t="s">
        <v>582</v>
      </c>
      <c r="P11" s="181">
        <f t="shared" si="0"/>
        <v>0</v>
      </c>
      <c r="Q11" s="185">
        <f t="shared" si="0"/>
        <v>0</v>
      </c>
      <c r="R11" s="185">
        <f t="shared" si="0"/>
        <v>0</v>
      </c>
      <c r="S11" s="185">
        <f t="shared" si="0"/>
        <v>0</v>
      </c>
      <c r="T11" s="234">
        <f t="shared" si="0"/>
        <v>0</v>
      </c>
      <c r="U11" s="185">
        <f t="shared" si="2"/>
        <v>1000</v>
      </c>
      <c r="V11" s="22">
        <f t="shared" si="3"/>
        <v>10</v>
      </c>
      <c r="W11" s="22">
        <f t="shared" si="4"/>
        <v>2</v>
      </c>
      <c r="X11" s="22">
        <f t="shared" si="5"/>
        <v>2</v>
      </c>
      <c r="Y11" s="22">
        <f t="shared" si="6"/>
        <v>1</v>
      </c>
      <c r="Z11" s="22">
        <f t="shared" si="7"/>
        <v>8.4</v>
      </c>
      <c r="AA11" s="22">
        <f t="shared" si="8"/>
        <v>1.9</v>
      </c>
      <c r="AB11" s="22">
        <f t="shared" si="9"/>
        <v>10.5</v>
      </c>
      <c r="AC11" s="22">
        <f t="shared" si="10"/>
        <v>0.3</v>
      </c>
      <c r="AD11" s="22">
        <f t="shared" si="11"/>
        <v>0.3</v>
      </c>
      <c r="AE11" s="22">
        <f t="shared" si="12"/>
        <v>0.3</v>
      </c>
      <c r="AF11" s="22">
        <f t="shared" si="13"/>
        <v>22.8</v>
      </c>
      <c r="AG11" s="22">
        <f t="shared" si="14"/>
        <v>3.5</v>
      </c>
      <c r="AH11" s="22">
        <f t="shared" si="15"/>
        <v>6.4</v>
      </c>
      <c r="AI11" s="22">
        <f t="shared" si="16"/>
        <v>0</v>
      </c>
      <c r="AJ11" s="22">
        <f t="shared" si="17"/>
        <v>0</v>
      </c>
      <c r="AK11" s="22">
        <f t="shared" si="18"/>
        <v>0</v>
      </c>
      <c r="AL11" s="22">
        <f t="shared" si="19"/>
        <v>0</v>
      </c>
      <c r="AM11" s="22">
        <f t="shared" si="20"/>
        <v>0</v>
      </c>
      <c r="AN11" s="22">
        <f t="shared" si="21"/>
        <v>0</v>
      </c>
      <c r="AO11" s="22">
        <f t="shared" si="22"/>
        <v>0</v>
      </c>
      <c r="AP11" s="22">
        <f t="shared" si="23"/>
        <v>0</v>
      </c>
      <c r="AQ11" s="22">
        <f t="shared" si="24"/>
        <v>0</v>
      </c>
      <c r="AR11" s="22">
        <f t="shared" si="25"/>
        <v>0</v>
      </c>
      <c r="AS11" s="22">
        <f t="shared" si="26"/>
        <v>0</v>
      </c>
    </row>
    <row r="12" spans="1:47" ht="15" thickBot="1" x14ac:dyDescent="0.2">
      <c r="A12" s="31">
        <v>150</v>
      </c>
      <c r="B12" s="32">
        <v>71</v>
      </c>
      <c r="C12" s="16">
        <v>80</v>
      </c>
      <c r="D12" s="33">
        <v>11</v>
      </c>
      <c r="E12" s="397"/>
      <c r="F12" s="397"/>
      <c r="G12" s="172">
        <v>150</v>
      </c>
      <c r="H12" s="173">
        <v>1</v>
      </c>
      <c r="I12" s="173">
        <v>1.2</v>
      </c>
      <c r="J12" s="173" t="s">
        <v>581</v>
      </c>
      <c r="K12" s="173" t="s">
        <v>581</v>
      </c>
      <c r="L12" s="173">
        <v>90</v>
      </c>
      <c r="M12" s="173">
        <v>12</v>
      </c>
      <c r="N12" s="174">
        <v>1</v>
      </c>
      <c r="O12" s="247" t="s">
        <v>581</v>
      </c>
      <c r="P12" s="241">
        <f t="shared" si="0"/>
        <v>0</v>
      </c>
      <c r="Q12" s="231">
        <f t="shared" si="0"/>
        <v>0</v>
      </c>
      <c r="R12" s="231">
        <f t="shared" si="0"/>
        <v>0</v>
      </c>
      <c r="S12" s="231">
        <f t="shared" si="0"/>
        <v>0</v>
      </c>
      <c r="T12" s="235">
        <f t="shared" si="0"/>
        <v>0</v>
      </c>
      <c r="U12" s="231">
        <f t="shared" si="2"/>
        <v>1000</v>
      </c>
      <c r="V12" s="174">
        <f t="shared" si="3"/>
        <v>10</v>
      </c>
      <c r="W12" s="174">
        <f t="shared" si="4"/>
        <v>2</v>
      </c>
      <c r="X12" s="174">
        <f t="shared" si="5"/>
        <v>2</v>
      </c>
      <c r="Y12" s="174">
        <f t="shared" si="6"/>
        <v>1</v>
      </c>
      <c r="Z12" s="174">
        <f t="shared" si="7"/>
        <v>8.4</v>
      </c>
      <c r="AA12" s="174">
        <f t="shared" si="8"/>
        <v>1.9</v>
      </c>
      <c r="AB12" s="174">
        <f t="shared" si="9"/>
        <v>10.5</v>
      </c>
      <c r="AC12" s="174">
        <f t="shared" si="10"/>
        <v>0.3</v>
      </c>
      <c r="AD12" s="174">
        <f t="shared" si="11"/>
        <v>0.3</v>
      </c>
      <c r="AE12" s="174">
        <f t="shared" si="12"/>
        <v>0.3</v>
      </c>
      <c r="AF12" s="174">
        <f t="shared" si="13"/>
        <v>22.8</v>
      </c>
      <c r="AG12" s="174">
        <f t="shared" si="14"/>
        <v>3.5</v>
      </c>
      <c r="AH12" s="174">
        <f t="shared" si="15"/>
        <v>6.4</v>
      </c>
      <c r="AI12" s="174">
        <f t="shared" si="16"/>
        <v>0</v>
      </c>
      <c r="AJ12" s="174">
        <f t="shared" si="17"/>
        <v>0</v>
      </c>
      <c r="AK12" s="174">
        <f t="shared" si="18"/>
        <v>0</v>
      </c>
      <c r="AL12" s="174">
        <f t="shared" si="19"/>
        <v>0</v>
      </c>
      <c r="AM12" s="174">
        <f t="shared" si="20"/>
        <v>0</v>
      </c>
      <c r="AN12" s="174">
        <f t="shared" si="21"/>
        <v>0</v>
      </c>
      <c r="AO12" s="174">
        <f t="shared" si="22"/>
        <v>0</v>
      </c>
      <c r="AP12" s="174">
        <f t="shared" si="23"/>
        <v>0</v>
      </c>
      <c r="AQ12" s="174">
        <f t="shared" si="24"/>
        <v>0</v>
      </c>
      <c r="AR12" s="174">
        <f t="shared" si="25"/>
        <v>0</v>
      </c>
      <c r="AS12" s="174">
        <f t="shared" si="26"/>
        <v>0</v>
      </c>
    </row>
    <row r="13" spans="1:47" ht="15" thickBot="1" x14ac:dyDescent="0.2">
      <c r="B13" s="32">
        <v>81</v>
      </c>
      <c r="C13" s="16">
        <v>90</v>
      </c>
      <c r="D13" s="33">
        <v>12</v>
      </c>
      <c r="E13" s="397"/>
      <c r="F13" s="397"/>
      <c r="G13" s="27">
        <v>1</v>
      </c>
      <c r="H13" s="28">
        <v>2</v>
      </c>
      <c r="I13" s="28">
        <v>3</v>
      </c>
      <c r="J13" s="28">
        <v>4</v>
      </c>
      <c r="K13" s="28">
        <v>5</v>
      </c>
      <c r="L13" s="28">
        <v>6</v>
      </c>
      <c r="M13" s="28">
        <v>7</v>
      </c>
      <c r="N13" s="28">
        <v>8</v>
      </c>
      <c r="O13" s="30">
        <v>9</v>
      </c>
      <c r="P13" s="242">
        <v>10</v>
      </c>
      <c r="Q13" s="29">
        <v>11</v>
      </c>
      <c r="R13" s="28">
        <v>12</v>
      </c>
      <c r="S13" s="29">
        <v>13</v>
      </c>
      <c r="T13" s="236">
        <v>14</v>
      </c>
      <c r="U13" s="232">
        <v>15</v>
      </c>
      <c r="V13" s="28">
        <v>16</v>
      </c>
      <c r="W13" s="29">
        <v>17</v>
      </c>
      <c r="X13" s="28">
        <v>18</v>
      </c>
      <c r="Y13" s="29">
        <v>19</v>
      </c>
      <c r="Z13" s="28">
        <v>20</v>
      </c>
      <c r="AA13" s="29">
        <v>21</v>
      </c>
      <c r="AB13" s="28">
        <v>22</v>
      </c>
      <c r="AC13" s="29">
        <v>23</v>
      </c>
      <c r="AD13" s="28">
        <v>24</v>
      </c>
      <c r="AE13" s="29">
        <v>25</v>
      </c>
      <c r="AF13" s="28">
        <v>26</v>
      </c>
      <c r="AG13" s="29">
        <v>27</v>
      </c>
      <c r="AH13" s="28">
        <v>28</v>
      </c>
      <c r="AI13" s="29">
        <v>29</v>
      </c>
      <c r="AJ13" s="28">
        <v>30</v>
      </c>
      <c r="AK13" s="29">
        <v>31</v>
      </c>
      <c r="AL13" s="28">
        <v>32</v>
      </c>
      <c r="AM13" s="29">
        <v>33</v>
      </c>
      <c r="AN13" s="28">
        <v>34</v>
      </c>
      <c r="AO13" s="29">
        <v>35</v>
      </c>
      <c r="AP13" s="28">
        <v>36</v>
      </c>
      <c r="AQ13" s="29">
        <v>37</v>
      </c>
      <c r="AR13" s="28">
        <v>38</v>
      </c>
      <c r="AS13" s="30">
        <v>39</v>
      </c>
    </row>
    <row r="14" spans="1:47" ht="15" thickBot="1" x14ac:dyDescent="0.2">
      <c r="B14" s="34">
        <v>91</v>
      </c>
      <c r="C14" s="35">
        <v>100</v>
      </c>
      <c r="D14" s="36">
        <v>13</v>
      </c>
      <c r="E14" s="397"/>
      <c r="F14" s="397"/>
      <c r="P14" s="15" t="s">
        <v>575</v>
      </c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</row>
    <row r="15" spans="1:47" x14ac:dyDescent="0.15">
      <c r="E15" s="397"/>
      <c r="F15" s="397"/>
      <c r="G15" s="403" t="s">
        <v>50</v>
      </c>
      <c r="H15" s="403"/>
      <c r="I15" s="403"/>
      <c r="J15" s="403"/>
      <c r="K15" s="403"/>
      <c r="L15" s="403"/>
      <c r="M15" s="403"/>
      <c r="N15" s="403"/>
      <c r="O15" s="403"/>
      <c r="P15" s="333"/>
      <c r="Q15" s="333"/>
      <c r="R15" s="333"/>
      <c r="S15" s="333"/>
      <c r="T15" s="333"/>
      <c r="U15" s="334"/>
      <c r="V15" s="334"/>
      <c r="W15" s="334"/>
      <c r="X15" s="334"/>
      <c r="Y15" s="334"/>
      <c r="Z15" s="334"/>
      <c r="AA15" s="334"/>
      <c r="AB15" s="334"/>
      <c r="AC15" s="334"/>
      <c r="AD15" s="334"/>
      <c r="AE15" s="334"/>
      <c r="AF15" s="334"/>
      <c r="AG15" s="334"/>
      <c r="AH15" s="334"/>
      <c r="AI15" s="332"/>
      <c r="AJ15" s="332"/>
      <c r="AK15" s="332"/>
      <c r="AL15" s="332"/>
      <c r="AM15" s="332"/>
      <c r="AN15" s="332"/>
      <c r="AO15" s="332"/>
      <c r="AP15" s="332"/>
      <c r="AQ15" s="332"/>
      <c r="AR15" s="332"/>
      <c r="AS15" s="334"/>
    </row>
    <row r="16" spans="1:47" x14ac:dyDescent="0.15">
      <c r="G16" s="334" t="s">
        <v>0</v>
      </c>
      <c r="H16" s="334" t="s">
        <v>21</v>
      </c>
      <c r="I16" s="334" t="s">
        <v>31</v>
      </c>
      <c r="J16" s="334" t="s">
        <v>573</v>
      </c>
      <c r="K16" s="334" t="s">
        <v>9</v>
      </c>
      <c r="L16" s="334" t="s">
        <v>32</v>
      </c>
      <c r="M16" s="334" t="s">
        <v>5</v>
      </c>
      <c r="N16" s="335" t="s">
        <v>13</v>
      </c>
      <c r="O16" s="335" t="s">
        <v>12</v>
      </c>
      <c r="P16" s="336" t="str">
        <f>'水理計算書 (受水槽)'!C14</f>
        <v>定水位弁</v>
      </c>
      <c r="Q16" s="336" t="str">
        <f>'水理計算書 (受水槽)'!C15</f>
        <v>予備2</v>
      </c>
      <c r="R16" s="336" t="str">
        <f>'水理計算書 (受水槽)'!C16</f>
        <v>予備3</v>
      </c>
      <c r="S16" s="336" t="str">
        <f>'水理計算書 (受水槽)'!C17</f>
        <v>予備4</v>
      </c>
      <c r="T16" s="336" t="str">
        <f>'水理計算書 (受水槽)'!C18</f>
        <v>予備5</v>
      </c>
      <c r="U16" s="332" t="s">
        <v>456</v>
      </c>
      <c r="V16" s="332" t="s">
        <v>457</v>
      </c>
      <c r="W16" s="332" t="s">
        <v>458</v>
      </c>
      <c r="X16" s="332" t="s">
        <v>459</v>
      </c>
      <c r="Y16" s="332" t="s">
        <v>460</v>
      </c>
      <c r="Z16" s="332" t="s">
        <v>461</v>
      </c>
      <c r="AA16" s="332" t="s">
        <v>462</v>
      </c>
      <c r="AB16" s="332" t="s">
        <v>463</v>
      </c>
      <c r="AC16" s="332" t="s">
        <v>464</v>
      </c>
      <c r="AD16" s="332" t="s">
        <v>465</v>
      </c>
      <c r="AE16" s="332" t="s">
        <v>466</v>
      </c>
      <c r="AF16" s="332" t="s">
        <v>467</v>
      </c>
      <c r="AG16" s="332" t="s">
        <v>468</v>
      </c>
      <c r="AH16" s="332" t="s">
        <v>469</v>
      </c>
      <c r="AI16" s="332" t="s">
        <v>470</v>
      </c>
      <c r="AJ16" s="332" t="s">
        <v>471</v>
      </c>
      <c r="AK16" s="332" t="s">
        <v>472</v>
      </c>
      <c r="AL16" s="332" t="s">
        <v>473</v>
      </c>
      <c r="AM16" s="332" t="s">
        <v>474</v>
      </c>
      <c r="AN16" s="332" t="s">
        <v>475</v>
      </c>
      <c r="AO16" s="332" t="s">
        <v>476</v>
      </c>
      <c r="AP16" s="332" t="s">
        <v>477</v>
      </c>
      <c r="AQ16" s="332" t="s">
        <v>478</v>
      </c>
      <c r="AR16" s="332" t="s">
        <v>479</v>
      </c>
      <c r="AS16" s="332" t="s">
        <v>480</v>
      </c>
    </row>
    <row r="17" spans="7:45" x14ac:dyDescent="0.15">
      <c r="G17" s="337">
        <v>13</v>
      </c>
      <c r="H17" s="338">
        <v>0.5</v>
      </c>
      <c r="I17" s="338">
        <v>0.12</v>
      </c>
      <c r="J17" s="338">
        <v>1.5</v>
      </c>
      <c r="K17" s="338">
        <v>0.12</v>
      </c>
      <c r="L17" s="338">
        <v>3</v>
      </c>
      <c r="M17" s="338">
        <v>3</v>
      </c>
      <c r="N17" s="339">
        <v>0.5</v>
      </c>
      <c r="O17" s="340">
        <v>3</v>
      </c>
      <c r="P17" s="339">
        <f>'水理計算書 (受水槽)'!$D14</f>
        <v>11.9</v>
      </c>
      <c r="Q17" s="339">
        <f>'水理計算書 (受水槽)'!$D15</f>
        <v>0</v>
      </c>
      <c r="R17" s="339">
        <f>'水理計算書 (受水槽)'!$D16</f>
        <v>0</v>
      </c>
      <c r="S17" s="339">
        <f>'水理計算書 (受水槽)'!$D17</f>
        <v>0</v>
      </c>
      <c r="T17" s="339">
        <f>'水理計算書 (受水槽)'!$D18</f>
        <v>0</v>
      </c>
      <c r="U17" s="339">
        <f>'水理計算書 (受水槽)'!$D19</f>
        <v>6.7</v>
      </c>
      <c r="V17" s="339">
        <f>'水理計算書 (受水槽)'!$D20</f>
        <v>0.7</v>
      </c>
      <c r="W17" s="339">
        <f>'水理計算書 (受水槽)'!$D21</f>
        <v>11.75</v>
      </c>
      <c r="X17" s="339">
        <f>'水理計算書 (受水槽)'!$D22</f>
        <v>0</v>
      </c>
      <c r="Y17" s="339">
        <f>'水理計算書 (受水槽)'!$D23</f>
        <v>0</v>
      </c>
      <c r="Z17" s="339">
        <f>'水理計算書 (受水槽)'!$D24</f>
        <v>0</v>
      </c>
      <c r="AA17" s="339">
        <f>'水理計算書 (受水槽)'!$D25</f>
        <v>0</v>
      </c>
      <c r="AB17" s="339">
        <f>'水理計算書 (受水槽)'!$D26</f>
        <v>0</v>
      </c>
      <c r="AC17" s="339">
        <f>'水理計算書 (受水槽)'!$D27</f>
        <v>0</v>
      </c>
      <c r="AD17" s="339">
        <f>'水理計算書 (受水槽)'!$D28</f>
        <v>0</v>
      </c>
      <c r="AE17" s="339">
        <f>'水理計算書 (受水槽)'!$D29</f>
        <v>0</v>
      </c>
      <c r="AF17" s="339">
        <f>'水理計算書 (受水槽)'!$D30</f>
        <v>0</v>
      </c>
      <c r="AG17" s="339">
        <f>'水理計算書 (受水槽)'!$D31</f>
        <v>0</v>
      </c>
      <c r="AH17" s="339">
        <f>'水理計算書 (受水槽)'!$D32</f>
        <v>0</v>
      </c>
      <c r="AI17" s="339">
        <f>'水理計算書 (受水槽)'!$D33</f>
        <v>0</v>
      </c>
      <c r="AJ17" s="339">
        <f>'水理計算書 (受水槽)'!$D34</f>
        <v>0</v>
      </c>
      <c r="AK17" s="339">
        <f>'水理計算書 (受水槽)'!$D35</f>
        <v>0</v>
      </c>
      <c r="AL17" s="339">
        <f>'水理計算書 (受水槽)'!$D36</f>
        <v>0</v>
      </c>
      <c r="AM17" s="339">
        <f>'水理計算書 (受水槽)'!$D37</f>
        <v>0</v>
      </c>
      <c r="AN17" s="339">
        <f>'水理計算書 (受水槽)'!$D38</f>
        <v>0</v>
      </c>
      <c r="AO17" s="339">
        <f>'水理計算書 (受水槽)'!$D39</f>
        <v>0</v>
      </c>
      <c r="AP17" s="339">
        <f>'水理計算書 (受水槽)'!$D40</f>
        <v>0</v>
      </c>
      <c r="AQ17" s="339">
        <f>'水理計算書 (受水槽)'!$D41</f>
        <v>0</v>
      </c>
      <c r="AR17" s="339">
        <f>'水理計算書 (受水槽)'!$D42</f>
        <v>0</v>
      </c>
      <c r="AS17" s="339">
        <f>'水理計算書 (受水槽)'!$D43</f>
        <v>0</v>
      </c>
    </row>
    <row r="18" spans="7:45" x14ac:dyDescent="0.15">
      <c r="G18" s="337">
        <v>20</v>
      </c>
      <c r="H18" s="338">
        <v>0.5</v>
      </c>
      <c r="I18" s="338">
        <v>0.15</v>
      </c>
      <c r="J18" s="338">
        <v>2</v>
      </c>
      <c r="K18" s="338">
        <v>0.15</v>
      </c>
      <c r="L18" s="338">
        <v>8</v>
      </c>
      <c r="M18" s="338">
        <v>4</v>
      </c>
      <c r="N18" s="339">
        <v>0.5</v>
      </c>
      <c r="O18" s="340">
        <v>4</v>
      </c>
      <c r="P18" s="339">
        <f t="shared" ref="P18:T18" si="27">P17</f>
        <v>11.9</v>
      </c>
      <c r="Q18" s="339">
        <f t="shared" si="27"/>
        <v>0</v>
      </c>
      <c r="R18" s="339">
        <f t="shared" si="27"/>
        <v>0</v>
      </c>
      <c r="S18" s="339">
        <f t="shared" si="27"/>
        <v>0</v>
      </c>
      <c r="T18" s="339">
        <f t="shared" si="27"/>
        <v>0</v>
      </c>
      <c r="U18" s="339">
        <f>U17</f>
        <v>6.7</v>
      </c>
      <c r="V18" s="339">
        <f t="shared" ref="V18:AS26" si="28">V17</f>
        <v>0.7</v>
      </c>
      <c r="W18" s="339">
        <f t="shared" si="28"/>
        <v>11.75</v>
      </c>
      <c r="X18" s="339">
        <f t="shared" si="28"/>
        <v>0</v>
      </c>
      <c r="Y18" s="339">
        <f t="shared" si="28"/>
        <v>0</v>
      </c>
      <c r="Z18" s="339">
        <f t="shared" si="28"/>
        <v>0</v>
      </c>
      <c r="AA18" s="339">
        <f t="shared" si="28"/>
        <v>0</v>
      </c>
      <c r="AB18" s="339">
        <f t="shared" si="28"/>
        <v>0</v>
      </c>
      <c r="AC18" s="339">
        <f t="shared" si="28"/>
        <v>0</v>
      </c>
      <c r="AD18" s="339">
        <f t="shared" si="28"/>
        <v>0</v>
      </c>
      <c r="AE18" s="339">
        <f t="shared" si="28"/>
        <v>0</v>
      </c>
      <c r="AF18" s="339">
        <f t="shared" si="28"/>
        <v>0</v>
      </c>
      <c r="AG18" s="339">
        <f t="shared" si="28"/>
        <v>0</v>
      </c>
      <c r="AH18" s="339">
        <f t="shared" si="28"/>
        <v>0</v>
      </c>
      <c r="AI18" s="339">
        <f t="shared" si="28"/>
        <v>0</v>
      </c>
      <c r="AJ18" s="339">
        <f t="shared" si="28"/>
        <v>0</v>
      </c>
      <c r="AK18" s="339">
        <f t="shared" si="28"/>
        <v>0</v>
      </c>
      <c r="AL18" s="339">
        <f t="shared" si="28"/>
        <v>0</v>
      </c>
      <c r="AM18" s="339">
        <f t="shared" si="28"/>
        <v>0</v>
      </c>
      <c r="AN18" s="339">
        <f t="shared" si="28"/>
        <v>0</v>
      </c>
      <c r="AO18" s="339">
        <f t="shared" si="28"/>
        <v>0</v>
      </c>
      <c r="AP18" s="339">
        <f t="shared" si="28"/>
        <v>0</v>
      </c>
      <c r="AQ18" s="339">
        <f t="shared" si="28"/>
        <v>0</v>
      </c>
      <c r="AR18" s="339">
        <f t="shared" si="28"/>
        <v>0</v>
      </c>
      <c r="AS18" s="339">
        <f t="shared" si="28"/>
        <v>0</v>
      </c>
    </row>
    <row r="19" spans="7:45" x14ac:dyDescent="0.15">
      <c r="G19" s="337">
        <v>25</v>
      </c>
      <c r="H19" s="338">
        <v>0.5</v>
      </c>
      <c r="I19" s="338">
        <v>0.18</v>
      </c>
      <c r="J19" s="338">
        <v>3</v>
      </c>
      <c r="K19" s="338">
        <v>0.18</v>
      </c>
      <c r="L19" s="338">
        <v>12</v>
      </c>
      <c r="M19" s="338">
        <v>6</v>
      </c>
      <c r="N19" s="339">
        <v>0.5</v>
      </c>
      <c r="O19" s="340">
        <v>5</v>
      </c>
      <c r="P19" s="339">
        <f t="shared" ref="P19:U26" si="29">P18</f>
        <v>11.9</v>
      </c>
      <c r="Q19" s="339">
        <f t="shared" si="29"/>
        <v>0</v>
      </c>
      <c r="R19" s="339">
        <f t="shared" si="29"/>
        <v>0</v>
      </c>
      <c r="S19" s="339">
        <f t="shared" si="29"/>
        <v>0</v>
      </c>
      <c r="T19" s="339">
        <f t="shared" si="29"/>
        <v>0</v>
      </c>
      <c r="U19" s="339">
        <f t="shared" si="29"/>
        <v>6.7</v>
      </c>
      <c r="V19" s="339">
        <f t="shared" si="28"/>
        <v>0.7</v>
      </c>
      <c r="W19" s="339">
        <f t="shared" si="28"/>
        <v>11.75</v>
      </c>
      <c r="X19" s="339">
        <f t="shared" si="28"/>
        <v>0</v>
      </c>
      <c r="Y19" s="339">
        <f t="shared" si="28"/>
        <v>0</v>
      </c>
      <c r="Z19" s="339">
        <f t="shared" si="28"/>
        <v>0</v>
      </c>
      <c r="AA19" s="339">
        <f t="shared" si="28"/>
        <v>0</v>
      </c>
      <c r="AB19" s="339">
        <f t="shared" si="28"/>
        <v>0</v>
      </c>
      <c r="AC19" s="339">
        <f t="shared" si="28"/>
        <v>0</v>
      </c>
      <c r="AD19" s="339">
        <f t="shared" si="28"/>
        <v>0</v>
      </c>
      <c r="AE19" s="339">
        <f t="shared" si="28"/>
        <v>0</v>
      </c>
      <c r="AF19" s="339">
        <f t="shared" si="28"/>
        <v>0</v>
      </c>
      <c r="AG19" s="339">
        <f t="shared" si="28"/>
        <v>0</v>
      </c>
      <c r="AH19" s="339">
        <f t="shared" si="28"/>
        <v>0</v>
      </c>
      <c r="AI19" s="339">
        <f t="shared" si="28"/>
        <v>0</v>
      </c>
      <c r="AJ19" s="339">
        <f t="shared" si="28"/>
        <v>0</v>
      </c>
      <c r="AK19" s="339">
        <f t="shared" si="28"/>
        <v>0</v>
      </c>
      <c r="AL19" s="339">
        <f t="shared" si="28"/>
        <v>0</v>
      </c>
      <c r="AM19" s="339">
        <f t="shared" si="28"/>
        <v>0</v>
      </c>
      <c r="AN19" s="339">
        <f t="shared" si="28"/>
        <v>0</v>
      </c>
      <c r="AO19" s="339">
        <f t="shared" si="28"/>
        <v>0</v>
      </c>
      <c r="AP19" s="339">
        <f t="shared" si="28"/>
        <v>0</v>
      </c>
      <c r="AQ19" s="339">
        <f t="shared" si="28"/>
        <v>0</v>
      </c>
      <c r="AR19" s="339">
        <f t="shared" si="28"/>
        <v>0</v>
      </c>
      <c r="AS19" s="339">
        <f t="shared" si="28"/>
        <v>0</v>
      </c>
    </row>
    <row r="20" spans="7:45" x14ac:dyDescent="0.15">
      <c r="G20" s="337">
        <v>30</v>
      </c>
      <c r="H20" s="338">
        <v>1</v>
      </c>
      <c r="I20" s="338">
        <v>0.24</v>
      </c>
      <c r="J20" s="338">
        <v>4</v>
      </c>
      <c r="K20" s="338">
        <v>0.24</v>
      </c>
      <c r="L20" s="338">
        <v>19</v>
      </c>
      <c r="M20" s="338">
        <v>11</v>
      </c>
      <c r="N20" s="339">
        <v>1</v>
      </c>
      <c r="O20" s="340">
        <v>8</v>
      </c>
      <c r="P20" s="339">
        <f t="shared" ref="P20:T20" si="30">P19</f>
        <v>11.9</v>
      </c>
      <c r="Q20" s="339">
        <f t="shared" si="30"/>
        <v>0</v>
      </c>
      <c r="R20" s="339">
        <f t="shared" si="30"/>
        <v>0</v>
      </c>
      <c r="S20" s="339">
        <f t="shared" si="30"/>
        <v>0</v>
      </c>
      <c r="T20" s="339">
        <f t="shared" si="30"/>
        <v>0</v>
      </c>
      <c r="U20" s="339">
        <f t="shared" si="29"/>
        <v>6.7</v>
      </c>
      <c r="V20" s="339">
        <f t="shared" si="28"/>
        <v>0.7</v>
      </c>
      <c r="W20" s="339">
        <f t="shared" si="28"/>
        <v>11.75</v>
      </c>
      <c r="X20" s="339">
        <f t="shared" si="28"/>
        <v>0</v>
      </c>
      <c r="Y20" s="339">
        <f t="shared" si="28"/>
        <v>0</v>
      </c>
      <c r="Z20" s="339">
        <f t="shared" si="28"/>
        <v>0</v>
      </c>
      <c r="AA20" s="339">
        <f t="shared" si="28"/>
        <v>0</v>
      </c>
      <c r="AB20" s="339">
        <f t="shared" si="28"/>
        <v>0</v>
      </c>
      <c r="AC20" s="339">
        <f t="shared" si="28"/>
        <v>0</v>
      </c>
      <c r="AD20" s="339">
        <f t="shared" si="28"/>
        <v>0</v>
      </c>
      <c r="AE20" s="339">
        <f t="shared" si="28"/>
        <v>0</v>
      </c>
      <c r="AF20" s="339">
        <f t="shared" si="28"/>
        <v>0</v>
      </c>
      <c r="AG20" s="339">
        <f t="shared" si="28"/>
        <v>0</v>
      </c>
      <c r="AH20" s="339">
        <f t="shared" si="28"/>
        <v>0</v>
      </c>
      <c r="AI20" s="339">
        <f t="shared" si="28"/>
        <v>0</v>
      </c>
      <c r="AJ20" s="339">
        <f t="shared" si="28"/>
        <v>0</v>
      </c>
      <c r="AK20" s="339">
        <f t="shared" si="28"/>
        <v>0</v>
      </c>
      <c r="AL20" s="339">
        <f t="shared" si="28"/>
        <v>0</v>
      </c>
      <c r="AM20" s="339">
        <f t="shared" si="28"/>
        <v>0</v>
      </c>
      <c r="AN20" s="339">
        <f t="shared" si="28"/>
        <v>0</v>
      </c>
      <c r="AO20" s="339">
        <f t="shared" si="28"/>
        <v>0</v>
      </c>
      <c r="AP20" s="339">
        <f t="shared" si="28"/>
        <v>0</v>
      </c>
      <c r="AQ20" s="339">
        <f t="shared" si="28"/>
        <v>0</v>
      </c>
      <c r="AR20" s="339">
        <f t="shared" si="28"/>
        <v>0</v>
      </c>
      <c r="AS20" s="339">
        <f t="shared" si="28"/>
        <v>0</v>
      </c>
    </row>
    <row r="21" spans="7:45" x14ac:dyDescent="0.15">
      <c r="G21" s="337">
        <v>40</v>
      </c>
      <c r="H21" s="338">
        <v>1</v>
      </c>
      <c r="I21" s="338">
        <v>0.3</v>
      </c>
      <c r="J21" s="338">
        <v>5</v>
      </c>
      <c r="K21" s="338">
        <v>0.3</v>
      </c>
      <c r="L21" s="338">
        <v>20</v>
      </c>
      <c r="M21" s="338">
        <v>20</v>
      </c>
      <c r="N21" s="339">
        <v>1</v>
      </c>
      <c r="O21" s="340">
        <v>11</v>
      </c>
      <c r="P21" s="339">
        <f t="shared" ref="P21:T21" si="31">P20</f>
        <v>11.9</v>
      </c>
      <c r="Q21" s="339">
        <f t="shared" si="31"/>
        <v>0</v>
      </c>
      <c r="R21" s="339">
        <f t="shared" si="31"/>
        <v>0</v>
      </c>
      <c r="S21" s="339">
        <f t="shared" si="31"/>
        <v>0</v>
      </c>
      <c r="T21" s="339">
        <f t="shared" si="31"/>
        <v>0</v>
      </c>
      <c r="U21" s="339">
        <f t="shared" si="29"/>
        <v>6.7</v>
      </c>
      <c r="V21" s="339">
        <f t="shared" si="28"/>
        <v>0.7</v>
      </c>
      <c r="W21" s="339">
        <f t="shared" si="28"/>
        <v>11.75</v>
      </c>
      <c r="X21" s="339">
        <f t="shared" si="28"/>
        <v>0</v>
      </c>
      <c r="Y21" s="339">
        <f t="shared" si="28"/>
        <v>0</v>
      </c>
      <c r="Z21" s="339">
        <f t="shared" si="28"/>
        <v>0</v>
      </c>
      <c r="AA21" s="339">
        <f t="shared" si="28"/>
        <v>0</v>
      </c>
      <c r="AB21" s="339">
        <f t="shared" si="28"/>
        <v>0</v>
      </c>
      <c r="AC21" s="339">
        <f t="shared" si="28"/>
        <v>0</v>
      </c>
      <c r="AD21" s="339">
        <f t="shared" si="28"/>
        <v>0</v>
      </c>
      <c r="AE21" s="339">
        <f t="shared" si="28"/>
        <v>0</v>
      </c>
      <c r="AF21" s="339">
        <f t="shared" si="28"/>
        <v>0</v>
      </c>
      <c r="AG21" s="339">
        <f t="shared" si="28"/>
        <v>0</v>
      </c>
      <c r="AH21" s="339">
        <f t="shared" si="28"/>
        <v>0</v>
      </c>
      <c r="AI21" s="339">
        <f t="shared" si="28"/>
        <v>0</v>
      </c>
      <c r="AJ21" s="339">
        <f t="shared" si="28"/>
        <v>0</v>
      </c>
      <c r="AK21" s="339">
        <f t="shared" si="28"/>
        <v>0</v>
      </c>
      <c r="AL21" s="339">
        <f t="shared" si="28"/>
        <v>0</v>
      </c>
      <c r="AM21" s="339">
        <f t="shared" si="28"/>
        <v>0</v>
      </c>
      <c r="AN21" s="339">
        <f t="shared" si="28"/>
        <v>0</v>
      </c>
      <c r="AO21" s="339">
        <f t="shared" si="28"/>
        <v>0</v>
      </c>
      <c r="AP21" s="339">
        <f t="shared" si="28"/>
        <v>0</v>
      </c>
      <c r="AQ21" s="339">
        <f t="shared" si="28"/>
        <v>0</v>
      </c>
      <c r="AR21" s="339">
        <f t="shared" si="28"/>
        <v>0</v>
      </c>
      <c r="AS21" s="339">
        <f t="shared" si="28"/>
        <v>0</v>
      </c>
    </row>
    <row r="22" spans="7:45" x14ac:dyDescent="0.15">
      <c r="G22" s="337">
        <v>50</v>
      </c>
      <c r="H22" s="338">
        <v>1</v>
      </c>
      <c r="I22" s="338">
        <v>0.39</v>
      </c>
      <c r="J22" s="338" t="s">
        <v>454</v>
      </c>
      <c r="K22" s="338" t="s">
        <v>454</v>
      </c>
      <c r="L22" s="338">
        <v>20</v>
      </c>
      <c r="M22" s="338">
        <v>32</v>
      </c>
      <c r="N22" s="339">
        <v>1</v>
      </c>
      <c r="O22" s="340">
        <v>15</v>
      </c>
      <c r="P22" s="339">
        <f t="shared" ref="P22:T22" si="32">P21</f>
        <v>11.9</v>
      </c>
      <c r="Q22" s="339">
        <f t="shared" si="32"/>
        <v>0</v>
      </c>
      <c r="R22" s="339">
        <f t="shared" si="32"/>
        <v>0</v>
      </c>
      <c r="S22" s="339">
        <f t="shared" si="32"/>
        <v>0</v>
      </c>
      <c r="T22" s="339">
        <f t="shared" si="32"/>
        <v>0</v>
      </c>
      <c r="U22" s="339">
        <f t="shared" si="29"/>
        <v>6.7</v>
      </c>
      <c r="V22" s="339">
        <f t="shared" si="28"/>
        <v>0.7</v>
      </c>
      <c r="W22" s="339">
        <f t="shared" si="28"/>
        <v>11.75</v>
      </c>
      <c r="X22" s="339">
        <f t="shared" si="28"/>
        <v>0</v>
      </c>
      <c r="Y22" s="339">
        <f t="shared" si="28"/>
        <v>0</v>
      </c>
      <c r="Z22" s="339">
        <f t="shared" si="28"/>
        <v>0</v>
      </c>
      <c r="AA22" s="339">
        <f t="shared" si="28"/>
        <v>0</v>
      </c>
      <c r="AB22" s="339">
        <f t="shared" si="28"/>
        <v>0</v>
      </c>
      <c r="AC22" s="339">
        <f t="shared" si="28"/>
        <v>0</v>
      </c>
      <c r="AD22" s="339">
        <f t="shared" si="28"/>
        <v>0</v>
      </c>
      <c r="AE22" s="339">
        <f t="shared" si="28"/>
        <v>0</v>
      </c>
      <c r="AF22" s="339">
        <f t="shared" si="28"/>
        <v>0</v>
      </c>
      <c r="AG22" s="339">
        <f t="shared" si="28"/>
        <v>0</v>
      </c>
      <c r="AH22" s="339">
        <f t="shared" si="28"/>
        <v>0</v>
      </c>
      <c r="AI22" s="339">
        <f t="shared" si="28"/>
        <v>0</v>
      </c>
      <c r="AJ22" s="339">
        <f t="shared" si="28"/>
        <v>0</v>
      </c>
      <c r="AK22" s="339">
        <f t="shared" si="28"/>
        <v>0</v>
      </c>
      <c r="AL22" s="339">
        <f t="shared" si="28"/>
        <v>0</v>
      </c>
      <c r="AM22" s="339">
        <f t="shared" si="28"/>
        <v>0</v>
      </c>
      <c r="AN22" s="339">
        <f t="shared" si="28"/>
        <v>0</v>
      </c>
      <c r="AO22" s="339">
        <f t="shared" si="28"/>
        <v>0</v>
      </c>
      <c r="AP22" s="339">
        <f t="shared" si="28"/>
        <v>0</v>
      </c>
      <c r="AQ22" s="339">
        <f t="shared" si="28"/>
        <v>0</v>
      </c>
      <c r="AR22" s="339">
        <f t="shared" si="28"/>
        <v>0</v>
      </c>
      <c r="AS22" s="339">
        <f t="shared" si="28"/>
        <v>0</v>
      </c>
    </row>
    <row r="23" spans="7:45" x14ac:dyDescent="0.15">
      <c r="G23" s="337">
        <v>65</v>
      </c>
      <c r="H23" s="338" t="s">
        <v>454</v>
      </c>
      <c r="I23" s="338" t="s">
        <v>454</v>
      </c>
      <c r="J23" s="338" t="s">
        <v>454</v>
      </c>
      <c r="K23" s="338" t="s">
        <v>454</v>
      </c>
      <c r="L23" s="338" t="s">
        <v>454</v>
      </c>
      <c r="M23" s="338" t="s">
        <v>454</v>
      </c>
      <c r="N23" s="338" t="s">
        <v>454</v>
      </c>
      <c r="O23" s="338" t="s">
        <v>454</v>
      </c>
      <c r="P23" s="339">
        <f t="shared" ref="P23:T23" si="33">P22</f>
        <v>11.9</v>
      </c>
      <c r="Q23" s="339">
        <f t="shared" si="33"/>
        <v>0</v>
      </c>
      <c r="R23" s="339">
        <f t="shared" si="33"/>
        <v>0</v>
      </c>
      <c r="S23" s="339">
        <f t="shared" si="33"/>
        <v>0</v>
      </c>
      <c r="T23" s="339">
        <f t="shared" si="33"/>
        <v>0</v>
      </c>
      <c r="U23" s="339">
        <f t="shared" si="29"/>
        <v>6.7</v>
      </c>
      <c r="V23" s="339">
        <f t="shared" si="28"/>
        <v>0.7</v>
      </c>
      <c r="W23" s="339">
        <f t="shared" si="28"/>
        <v>11.75</v>
      </c>
      <c r="X23" s="339">
        <f t="shared" si="28"/>
        <v>0</v>
      </c>
      <c r="Y23" s="339">
        <f t="shared" si="28"/>
        <v>0</v>
      </c>
      <c r="Z23" s="339">
        <f t="shared" si="28"/>
        <v>0</v>
      </c>
      <c r="AA23" s="339">
        <f t="shared" si="28"/>
        <v>0</v>
      </c>
      <c r="AB23" s="339">
        <f t="shared" si="28"/>
        <v>0</v>
      </c>
      <c r="AC23" s="339">
        <f t="shared" si="28"/>
        <v>0</v>
      </c>
      <c r="AD23" s="339">
        <f t="shared" si="28"/>
        <v>0</v>
      </c>
      <c r="AE23" s="339">
        <f t="shared" si="28"/>
        <v>0</v>
      </c>
      <c r="AF23" s="339">
        <f t="shared" si="28"/>
        <v>0</v>
      </c>
      <c r="AG23" s="339">
        <f t="shared" si="28"/>
        <v>0</v>
      </c>
      <c r="AH23" s="339">
        <f t="shared" si="28"/>
        <v>0</v>
      </c>
      <c r="AI23" s="339">
        <f t="shared" si="28"/>
        <v>0</v>
      </c>
      <c r="AJ23" s="339">
        <f t="shared" si="28"/>
        <v>0</v>
      </c>
      <c r="AK23" s="339">
        <f t="shared" si="28"/>
        <v>0</v>
      </c>
      <c r="AL23" s="339">
        <f t="shared" si="28"/>
        <v>0</v>
      </c>
      <c r="AM23" s="339">
        <f t="shared" si="28"/>
        <v>0</v>
      </c>
      <c r="AN23" s="339">
        <f t="shared" si="28"/>
        <v>0</v>
      </c>
      <c r="AO23" s="339">
        <f t="shared" si="28"/>
        <v>0</v>
      </c>
      <c r="AP23" s="339">
        <f t="shared" si="28"/>
        <v>0</v>
      </c>
      <c r="AQ23" s="339">
        <f t="shared" si="28"/>
        <v>0</v>
      </c>
      <c r="AR23" s="339">
        <f t="shared" si="28"/>
        <v>0</v>
      </c>
      <c r="AS23" s="339">
        <f t="shared" si="28"/>
        <v>0</v>
      </c>
    </row>
    <row r="24" spans="7:45" x14ac:dyDescent="0.15">
      <c r="G24" s="337">
        <v>75</v>
      </c>
      <c r="H24" s="338">
        <v>1</v>
      </c>
      <c r="I24" s="338">
        <v>0.63</v>
      </c>
      <c r="J24" s="338" t="s">
        <v>454</v>
      </c>
      <c r="K24" s="338" t="s">
        <v>454</v>
      </c>
      <c r="L24" s="338">
        <v>25</v>
      </c>
      <c r="M24" s="338">
        <v>5.7</v>
      </c>
      <c r="N24" s="339">
        <v>1</v>
      </c>
      <c r="O24" s="341" t="s">
        <v>454</v>
      </c>
      <c r="P24" s="339">
        <f t="shared" ref="P24:T24" si="34">P23</f>
        <v>11.9</v>
      </c>
      <c r="Q24" s="339">
        <f t="shared" si="34"/>
        <v>0</v>
      </c>
      <c r="R24" s="339">
        <f t="shared" si="34"/>
        <v>0</v>
      </c>
      <c r="S24" s="339">
        <f t="shared" si="34"/>
        <v>0</v>
      </c>
      <c r="T24" s="339">
        <f t="shared" si="34"/>
        <v>0</v>
      </c>
      <c r="U24" s="339">
        <f t="shared" si="29"/>
        <v>6.7</v>
      </c>
      <c r="V24" s="339">
        <f t="shared" si="28"/>
        <v>0.7</v>
      </c>
      <c r="W24" s="339">
        <f t="shared" si="28"/>
        <v>11.75</v>
      </c>
      <c r="X24" s="339">
        <f t="shared" si="28"/>
        <v>0</v>
      </c>
      <c r="Y24" s="339">
        <f t="shared" si="28"/>
        <v>0</v>
      </c>
      <c r="Z24" s="339">
        <f t="shared" si="28"/>
        <v>0</v>
      </c>
      <c r="AA24" s="339">
        <f t="shared" si="28"/>
        <v>0</v>
      </c>
      <c r="AB24" s="339">
        <f t="shared" si="28"/>
        <v>0</v>
      </c>
      <c r="AC24" s="339">
        <f t="shared" si="28"/>
        <v>0</v>
      </c>
      <c r="AD24" s="339">
        <f t="shared" si="28"/>
        <v>0</v>
      </c>
      <c r="AE24" s="339">
        <f t="shared" si="28"/>
        <v>0</v>
      </c>
      <c r="AF24" s="339">
        <f t="shared" si="28"/>
        <v>0</v>
      </c>
      <c r="AG24" s="339">
        <f t="shared" si="28"/>
        <v>0</v>
      </c>
      <c r="AH24" s="339">
        <f t="shared" si="28"/>
        <v>0</v>
      </c>
      <c r="AI24" s="339">
        <f t="shared" si="28"/>
        <v>0</v>
      </c>
      <c r="AJ24" s="339">
        <f t="shared" si="28"/>
        <v>0</v>
      </c>
      <c r="AK24" s="339">
        <f t="shared" si="28"/>
        <v>0</v>
      </c>
      <c r="AL24" s="339">
        <f t="shared" si="28"/>
        <v>0</v>
      </c>
      <c r="AM24" s="339">
        <f t="shared" si="28"/>
        <v>0</v>
      </c>
      <c r="AN24" s="339">
        <f t="shared" si="28"/>
        <v>0</v>
      </c>
      <c r="AO24" s="339">
        <f t="shared" si="28"/>
        <v>0</v>
      </c>
      <c r="AP24" s="339">
        <f t="shared" si="28"/>
        <v>0</v>
      </c>
      <c r="AQ24" s="339">
        <f t="shared" si="28"/>
        <v>0</v>
      </c>
      <c r="AR24" s="339">
        <f t="shared" si="28"/>
        <v>0</v>
      </c>
      <c r="AS24" s="339">
        <f t="shared" si="28"/>
        <v>0</v>
      </c>
    </row>
    <row r="25" spans="7:45" x14ac:dyDescent="0.15">
      <c r="G25" s="337">
        <v>100</v>
      </c>
      <c r="H25" s="338">
        <v>1</v>
      </c>
      <c r="I25" s="338">
        <v>0.81</v>
      </c>
      <c r="J25" s="338" t="s">
        <v>454</v>
      </c>
      <c r="K25" s="338" t="s">
        <v>454</v>
      </c>
      <c r="L25" s="338">
        <v>30</v>
      </c>
      <c r="M25" s="338">
        <v>7.6</v>
      </c>
      <c r="N25" s="339">
        <v>1</v>
      </c>
      <c r="O25" s="338" t="s">
        <v>454</v>
      </c>
      <c r="P25" s="339">
        <f t="shared" ref="P25:T25" si="35">P24</f>
        <v>11.9</v>
      </c>
      <c r="Q25" s="339">
        <f t="shared" si="35"/>
        <v>0</v>
      </c>
      <c r="R25" s="339">
        <f t="shared" si="35"/>
        <v>0</v>
      </c>
      <c r="S25" s="339">
        <f t="shared" si="35"/>
        <v>0</v>
      </c>
      <c r="T25" s="339">
        <f t="shared" si="35"/>
        <v>0</v>
      </c>
      <c r="U25" s="339">
        <f t="shared" si="29"/>
        <v>6.7</v>
      </c>
      <c r="V25" s="339">
        <f t="shared" si="28"/>
        <v>0.7</v>
      </c>
      <c r="W25" s="339">
        <f t="shared" si="28"/>
        <v>11.75</v>
      </c>
      <c r="X25" s="339">
        <f t="shared" si="28"/>
        <v>0</v>
      </c>
      <c r="Y25" s="339">
        <f t="shared" si="28"/>
        <v>0</v>
      </c>
      <c r="Z25" s="339">
        <f t="shared" si="28"/>
        <v>0</v>
      </c>
      <c r="AA25" s="339">
        <f t="shared" si="28"/>
        <v>0</v>
      </c>
      <c r="AB25" s="339">
        <f t="shared" si="28"/>
        <v>0</v>
      </c>
      <c r="AC25" s="339">
        <f t="shared" si="28"/>
        <v>0</v>
      </c>
      <c r="AD25" s="339">
        <f t="shared" si="28"/>
        <v>0</v>
      </c>
      <c r="AE25" s="339">
        <f t="shared" si="28"/>
        <v>0</v>
      </c>
      <c r="AF25" s="339">
        <f t="shared" si="28"/>
        <v>0</v>
      </c>
      <c r="AG25" s="339">
        <f t="shared" si="28"/>
        <v>0</v>
      </c>
      <c r="AH25" s="339">
        <f t="shared" si="28"/>
        <v>0</v>
      </c>
      <c r="AI25" s="339">
        <f t="shared" si="28"/>
        <v>0</v>
      </c>
      <c r="AJ25" s="339">
        <f t="shared" si="28"/>
        <v>0</v>
      </c>
      <c r="AK25" s="339">
        <f t="shared" si="28"/>
        <v>0</v>
      </c>
      <c r="AL25" s="339">
        <f t="shared" si="28"/>
        <v>0</v>
      </c>
      <c r="AM25" s="339">
        <f t="shared" si="28"/>
        <v>0</v>
      </c>
      <c r="AN25" s="339">
        <f t="shared" si="28"/>
        <v>0</v>
      </c>
      <c r="AO25" s="339">
        <f t="shared" si="28"/>
        <v>0</v>
      </c>
      <c r="AP25" s="339">
        <f t="shared" si="28"/>
        <v>0</v>
      </c>
      <c r="AQ25" s="339">
        <f t="shared" si="28"/>
        <v>0</v>
      </c>
      <c r="AR25" s="339">
        <f t="shared" si="28"/>
        <v>0</v>
      </c>
      <c r="AS25" s="339">
        <f t="shared" si="28"/>
        <v>0</v>
      </c>
    </row>
    <row r="26" spans="7:45" x14ac:dyDescent="0.15">
      <c r="G26" s="337">
        <v>150</v>
      </c>
      <c r="H26" s="338">
        <v>1</v>
      </c>
      <c r="I26" s="338">
        <v>1.2</v>
      </c>
      <c r="J26" s="338" t="s">
        <v>454</v>
      </c>
      <c r="K26" s="338" t="s">
        <v>454</v>
      </c>
      <c r="L26" s="338">
        <v>90</v>
      </c>
      <c r="M26" s="338">
        <v>12</v>
      </c>
      <c r="N26" s="339">
        <v>1</v>
      </c>
      <c r="O26" s="341" t="s">
        <v>454</v>
      </c>
      <c r="P26" s="339">
        <f t="shared" ref="P26:T26" si="36">P25</f>
        <v>11.9</v>
      </c>
      <c r="Q26" s="339">
        <f t="shared" si="36"/>
        <v>0</v>
      </c>
      <c r="R26" s="339">
        <f t="shared" si="36"/>
        <v>0</v>
      </c>
      <c r="S26" s="339">
        <f t="shared" si="36"/>
        <v>0</v>
      </c>
      <c r="T26" s="339">
        <f t="shared" si="36"/>
        <v>0</v>
      </c>
      <c r="U26" s="339">
        <f t="shared" si="29"/>
        <v>6.7</v>
      </c>
      <c r="V26" s="339">
        <f t="shared" si="28"/>
        <v>0.7</v>
      </c>
      <c r="W26" s="339">
        <f t="shared" si="28"/>
        <v>11.75</v>
      </c>
      <c r="X26" s="339">
        <f t="shared" si="28"/>
        <v>0</v>
      </c>
      <c r="Y26" s="339">
        <f t="shared" si="28"/>
        <v>0</v>
      </c>
      <c r="Z26" s="339">
        <f t="shared" si="28"/>
        <v>0</v>
      </c>
      <c r="AA26" s="339">
        <f t="shared" si="28"/>
        <v>0</v>
      </c>
      <c r="AB26" s="339">
        <f t="shared" si="28"/>
        <v>0</v>
      </c>
      <c r="AC26" s="339">
        <f t="shared" si="28"/>
        <v>0</v>
      </c>
      <c r="AD26" s="339">
        <f t="shared" si="28"/>
        <v>0</v>
      </c>
      <c r="AE26" s="339">
        <f t="shared" si="28"/>
        <v>0</v>
      </c>
      <c r="AF26" s="339">
        <f t="shared" si="28"/>
        <v>0</v>
      </c>
      <c r="AG26" s="339">
        <f t="shared" si="28"/>
        <v>0</v>
      </c>
      <c r="AH26" s="339">
        <f t="shared" si="28"/>
        <v>0</v>
      </c>
      <c r="AI26" s="339">
        <f t="shared" si="28"/>
        <v>0</v>
      </c>
      <c r="AJ26" s="339">
        <f t="shared" si="28"/>
        <v>0</v>
      </c>
      <c r="AK26" s="339">
        <f t="shared" si="28"/>
        <v>0</v>
      </c>
      <c r="AL26" s="339">
        <f t="shared" si="28"/>
        <v>0</v>
      </c>
      <c r="AM26" s="339">
        <f t="shared" si="28"/>
        <v>0</v>
      </c>
      <c r="AN26" s="339">
        <f t="shared" si="28"/>
        <v>0</v>
      </c>
      <c r="AO26" s="339">
        <f t="shared" si="28"/>
        <v>0</v>
      </c>
      <c r="AP26" s="339">
        <f t="shared" si="28"/>
        <v>0</v>
      </c>
      <c r="AQ26" s="339">
        <f t="shared" si="28"/>
        <v>0</v>
      </c>
      <c r="AR26" s="339">
        <f t="shared" si="28"/>
        <v>0</v>
      </c>
      <c r="AS26" s="339">
        <f t="shared" si="28"/>
        <v>0</v>
      </c>
    </row>
    <row r="27" spans="7:45" x14ac:dyDescent="0.15">
      <c r="G27" s="342">
        <v>1</v>
      </c>
      <c r="H27" s="342">
        <v>2</v>
      </c>
      <c r="I27" s="342">
        <v>3</v>
      </c>
      <c r="J27" s="342">
        <v>4</v>
      </c>
      <c r="K27" s="342">
        <v>5</v>
      </c>
      <c r="L27" s="342">
        <v>6</v>
      </c>
      <c r="M27" s="342">
        <v>7</v>
      </c>
      <c r="N27" s="342">
        <v>8</v>
      </c>
      <c r="O27" s="342">
        <v>9</v>
      </c>
      <c r="P27" s="342">
        <v>10</v>
      </c>
      <c r="Q27" s="342">
        <v>11</v>
      </c>
      <c r="R27" s="342">
        <v>12</v>
      </c>
      <c r="S27" s="342">
        <v>13</v>
      </c>
      <c r="T27" s="342">
        <v>14</v>
      </c>
      <c r="U27" s="342">
        <v>15</v>
      </c>
      <c r="V27" s="342">
        <v>16</v>
      </c>
      <c r="W27" s="342">
        <v>17</v>
      </c>
      <c r="X27" s="342">
        <v>18</v>
      </c>
      <c r="Y27" s="342">
        <v>19</v>
      </c>
      <c r="Z27" s="342">
        <v>20</v>
      </c>
      <c r="AA27" s="342">
        <v>21</v>
      </c>
      <c r="AB27" s="342">
        <v>22</v>
      </c>
      <c r="AC27" s="342">
        <v>23</v>
      </c>
      <c r="AD27" s="342">
        <v>24</v>
      </c>
      <c r="AE27" s="342">
        <v>25</v>
      </c>
      <c r="AF27" s="342">
        <v>26</v>
      </c>
      <c r="AG27" s="342">
        <v>27</v>
      </c>
      <c r="AH27" s="342">
        <v>28</v>
      </c>
      <c r="AI27" s="342">
        <v>29</v>
      </c>
      <c r="AJ27" s="342">
        <v>30</v>
      </c>
      <c r="AK27" s="342">
        <v>31</v>
      </c>
      <c r="AL27" s="342">
        <v>32</v>
      </c>
      <c r="AM27" s="342">
        <v>33</v>
      </c>
      <c r="AN27" s="342">
        <v>34</v>
      </c>
      <c r="AO27" s="342">
        <v>35</v>
      </c>
      <c r="AP27" s="342">
        <v>36</v>
      </c>
      <c r="AQ27" s="342">
        <v>37</v>
      </c>
      <c r="AR27" s="342">
        <v>38</v>
      </c>
      <c r="AS27" s="342">
        <v>39</v>
      </c>
    </row>
    <row r="28" spans="7:45" x14ac:dyDescent="0.15">
      <c r="G28" s="337"/>
      <c r="H28" s="337"/>
      <c r="I28" s="337"/>
      <c r="J28" s="337"/>
      <c r="K28" s="337"/>
      <c r="L28" s="337"/>
      <c r="M28" s="337"/>
      <c r="N28" s="337"/>
      <c r="O28" s="337"/>
      <c r="P28" s="337" t="s">
        <v>575</v>
      </c>
      <c r="Q28" s="337"/>
      <c r="R28" s="337"/>
      <c r="S28" s="337"/>
      <c r="T28" s="337"/>
      <c r="U28" s="337"/>
      <c r="V28" s="337"/>
      <c r="W28" s="337"/>
      <c r="X28" s="337"/>
      <c r="Y28" s="337"/>
      <c r="Z28" s="337"/>
      <c r="AA28" s="337"/>
      <c r="AB28" s="337"/>
      <c r="AC28" s="337"/>
      <c r="AD28" s="337"/>
      <c r="AE28" s="337"/>
      <c r="AF28" s="337"/>
      <c r="AG28" s="337"/>
      <c r="AH28" s="332"/>
      <c r="AI28" s="332"/>
      <c r="AJ28" s="332"/>
      <c r="AK28" s="332"/>
      <c r="AL28" s="332"/>
      <c r="AM28" s="332"/>
      <c r="AN28" s="332"/>
      <c r="AO28" s="332"/>
      <c r="AP28" s="332"/>
      <c r="AQ28" s="332"/>
      <c r="AR28" s="332"/>
      <c r="AS28" s="337"/>
    </row>
  </sheetData>
  <sheetProtection password="CCFF" sheet="1" objects="1" scenarios="1"/>
  <mergeCells count="5">
    <mergeCell ref="B1:C1"/>
    <mergeCell ref="E10:F15"/>
    <mergeCell ref="E1:F1"/>
    <mergeCell ref="G1:O1"/>
    <mergeCell ref="G15:O15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D304"/>
  <sheetViews>
    <sheetView showGridLines="0" showRowColHeaders="0" topLeftCell="Y1" zoomScale="80" zoomScaleNormal="80" workbookViewId="0">
      <selection activeCell="AI7" sqref="AI7"/>
    </sheetView>
  </sheetViews>
  <sheetFormatPr defaultRowHeight="12" x14ac:dyDescent="0.15"/>
  <cols>
    <col min="1" max="3" width="9" style="42"/>
    <col min="4" max="4" width="2.5" style="42" customWidth="1"/>
    <col min="5" max="5" width="5.625" style="42" customWidth="1"/>
    <col min="6" max="6" width="20.25" style="42" bestFit="1" customWidth="1"/>
    <col min="7" max="7" width="11" style="42" bestFit="1" customWidth="1"/>
    <col min="8" max="8" width="13.375" style="42" bestFit="1" customWidth="1"/>
    <col min="9" max="9" width="10.25" style="42" bestFit="1" customWidth="1"/>
    <col min="10" max="10" width="2.5" style="42" customWidth="1"/>
    <col min="11" max="11" width="12.75" style="42" bestFit="1" customWidth="1"/>
    <col min="12" max="12" width="17.125" style="42" customWidth="1"/>
    <col min="13" max="13" width="15.125" style="42" bestFit="1" customWidth="1"/>
    <col min="14" max="14" width="10" style="42" bestFit="1" customWidth="1"/>
    <col min="15" max="15" width="2.5" style="42" customWidth="1"/>
    <col min="16" max="16" width="11.875" style="42" bestFit="1" customWidth="1"/>
    <col min="17" max="17" width="25" style="42" bestFit="1" customWidth="1"/>
    <col min="18" max="19" width="15.625" style="42" customWidth="1"/>
    <col min="20" max="20" width="2.5" style="42" customWidth="1"/>
    <col min="21" max="21" width="11.125" style="42" bestFit="1" customWidth="1"/>
    <col min="22" max="22" width="8.375" style="42" bestFit="1" customWidth="1"/>
    <col min="23" max="23" width="13.75" style="42" bestFit="1" customWidth="1"/>
    <col min="24" max="24" width="23.125" style="42" bestFit="1" customWidth="1"/>
    <col min="25" max="25" width="2.5" style="42" customWidth="1"/>
    <col min="26" max="26" width="10" style="42" bestFit="1" customWidth="1"/>
    <col min="27" max="27" width="13.75" style="42" bestFit="1" customWidth="1"/>
    <col min="28" max="28" width="2.5" style="42" customWidth="1"/>
    <col min="29" max="35" width="9" style="42"/>
    <col min="36" max="36" width="2.5" style="42" customWidth="1"/>
    <col min="37" max="40" width="9" style="42"/>
    <col min="41" max="41" width="2.5" style="42" customWidth="1"/>
    <col min="42" max="56" width="9" style="42"/>
    <col min="57" max="57" width="2.5" style="42" customWidth="1"/>
    <col min="58" max="66" width="9" style="42"/>
    <col min="67" max="67" width="2.5" style="42" customWidth="1"/>
    <col min="68" max="68" width="10" style="42" bestFit="1" customWidth="1"/>
    <col min="69" max="71" width="10.875" style="42" bestFit="1" customWidth="1"/>
    <col min="72" max="72" width="2.5" style="42" customWidth="1"/>
    <col min="73" max="73" width="8.375" style="42" bestFit="1" customWidth="1"/>
    <col min="74" max="74" width="11.875" style="42" customWidth="1"/>
    <col min="75" max="76" width="10" style="42" bestFit="1" customWidth="1"/>
    <col min="77" max="77" width="13.5" style="42" bestFit="1" customWidth="1"/>
    <col min="78" max="78" width="10" style="42" bestFit="1" customWidth="1"/>
    <col min="79" max="79" width="9" style="42"/>
    <col min="80" max="80" width="19" style="42" bestFit="1" customWidth="1"/>
    <col min="81" max="81" width="8.375" style="42" bestFit="1" customWidth="1"/>
    <col min="82" max="82" width="24" style="42" bestFit="1" customWidth="1"/>
    <col min="83" max="16384" width="9" style="42"/>
  </cols>
  <sheetData>
    <row r="1" spans="1:82" ht="13.5" x14ac:dyDescent="0.15">
      <c r="A1" s="41" t="s">
        <v>78</v>
      </c>
      <c r="B1" s="41"/>
      <c r="C1" s="41"/>
      <c r="E1" s="42" t="s">
        <v>427</v>
      </c>
      <c r="K1" s="42" t="s">
        <v>428</v>
      </c>
      <c r="P1" s="42" t="s">
        <v>429</v>
      </c>
      <c r="U1" s="42" t="s">
        <v>409</v>
      </c>
      <c r="Z1" s="42" t="s">
        <v>161</v>
      </c>
      <c r="AC1" s="42" t="s">
        <v>101</v>
      </c>
      <c r="AK1" s="43" t="s">
        <v>102</v>
      </c>
      <c r="AL1" s="44"/>
      <c r="AM1" s="44"/>
      <c r="AN1" s="44"/>
      <c r="AP1" s="42" t="s">
        <v>159</v>
      </c>
      <c r="BF1" s="42" t="s">
        <v>105</v>
      </c>
      <c r="BP1" s="42" t="s">
        <v>158</v>
      </c>
      <c r="BU1" s="42" t="s">
        <v>430</v>
      </c>
      <c r="CB1" s="42" t="s">
        <v>165</v>
      </c>
    </row>
    <row r="2" spans="1:82" ht="13.5" x14ac:dyDescent="0.15">
      <c r="A2" s="41" t="s">
        <v>574</v>
      </c>
      <c r="B2" s="41"/>
      <c r="C2" s="41"/>
      <c r="AK2" s="44"/>
      <c r="AL2" s="44"/>
      <c r="AM2" s="44"/>
      <c r="AN2" s="331">
        <v>110</v>
      </c>
      <c r="BD2" s="42" t="s">
        <v>77</v>
      </c>
      <c r="BN2" s="45" t="s">
        <v>160</v>
      </c>
    </row>
    <row r="3" spans="1:82" ht="12" customHeight="1" x14ac:dyDescent="0.15">
      <c r="A3" s="414" t="s">
        <v>16</v>
      </c>
      <c r="B3" s="415" t="s">
        <v>29</v>
      </c>
      <c r="C3" s="415"/>
      <c r="E3" s="404" t="s">
        <v>203</v>
      </c>
      <c r="F3" s="406" t="s">
        <v>204</v>
      </c>
      <c r="G3" s="406" t="s">
        <v>205</v>
      </c>
      <c r="H3" s="406"/>
      <c r="I3" s="406"/>
      <c r="K3" s="406" t="s">
        <v>288</v>
      </c>
      <c r="L3" s="406"/>
      <c r="M3" s="406" t="s">
        <v>289</v>
      </c>
      <c r="N3" s="406"/>
      <c r="P3" s="416" t="s">
        <v>112</v>
      </c>
      <c r="Q3" s="416" t="s">
        <v>113</v>
      </c>
      <c r="R3" s="418" t="s">
        <v>114</v>
      </c>
      <c r="S3" s="419"/>
      <c r="U3" s="46" t="s">
        <v>109</v>
      </c>
      <c r="V3" s="46" t="s">
        <v>18</v>
      </c>
      <c r="W3" s="46" t="s">
        <v>111</v>
      </c>
      <c r="X3" s="46" t="s">
        <v>110</v>
      </c>
      <c r="Z3" s="46" t="s">
        <v>106</v>
      </c>
      <c r="AA3" s="46" t="s">
        <v>108</v>
      </c>
      <c r="AC3" s="47" t="s">
        <v>1</v>
      </c>
      <c r="AD3" s="48" t="s">
        <v>30</v>
      </c>
      <c r="AE3" s="49"/>
      <c r="AF3" s="49"/>
      <c r="AG3" s="49"/>
      <c r="AH3" s="49"/>
      <c r="AI3" s="50"/>
      <c r="AK3" s="51" t="s">
        <v>1</v>
      </c>
      <c r="AL3" s="52" t="s">
        <v>162</v>
      </c>
      <c r="AM3" s="53"/>
      <c r="AN3" s="54"/>
      <c r="AP3" s="407" t="s">
        <v>0</v>
      </c>
      <c r="AQ3" s="407" t="s">
        <v>21</v>
      </c>
      <c r="AR3" s="407" t="s">
        <v>10</v>
      </c>
      <c r="AS3" s="420" t="s">
        <v>11</v>
      </c>
      <c r="AT3" s="421"/>
      <c r="AU3" s="407" t="s">
        <v>481</v>
      </c>
      <c r="AV3" s="407" t="s">
        <v>5</v>
      </c>
      <c r="AW3" s="407" t="s">
        <v>12</v>
      </c>
      <c r="AX3" s="407" t="s">
        <v>75</v>
      </c>
      <c r="AY3" s="407" t="s">
        <v>76</v>
      </c>
      <c r="AZ3" s="420" t="s">
        <v>482</v>
      </c>
      <c r="BA3" s="421"/>
      <c r="BB3" s="413" t="s">
        <v>483</v>
      </c>
      <c r="BC3" s="413" t="s">
        <v>484</v>
      </c>
      <c r="BD3" s="407" t="s">
        <v>13</v>
      </c>
      <c r="BF3" s="425" t="s">
        <v>104</v>
      </c>
      <c r="BG3" s="425" t="s">
        <v>103</v>
      </c>
      <c r="BH3" s="426" t="s">
        <v>0</v>
      </c>
      <c r="BI3" s="426"/>
      <c r="BJ3" s="426"/>
      <c r="BK3" s="426"/>
      <c r="BL3" s="426"/>
      <c r="BM3" s="426"/>
      <c r="BN3" s="426"/>
      <c r="BP3" s="46" t="s">
        <v>124</v>
      </c>
      <c r="BQ3" s="55" t="s">
        <v>485</v>
      </c>
      <c r="BR3" s="46" t="s">
        <v>486</v>
      </c>
      <c r="BS3" s="56" t="s">
        <v>125</v>
      </c>
      <c r="BU3" s="57" t="s">
        <v>182</v>
      </c>
      <c r="BV3" s="57" t="s">
        <v>183</v>
      </c>
      <c r="BW3" s="57" t="s">
        <v>184</v>
      </c>
      <c r="BX3" s="57" t="s">
        <v>185</v>
      </c>
      <c r="BY3" s="57" t="s">
        <v>186</v>
      </c>
      <c r="BZ3" s="57" t="s">
        <v>187</v>
      </c>
      <c r="CB3" s="57" t="s">
        <v>166</v>
      </c>
      <c r="CC3" s="57" t="s">
        <v>0</v>
      </c>
      <c r="CD3" s="57" t="s">
        <v>167</v>
      </c>
    </row>
    <row r="4" spans="1:82" ht="24.75" thickBot="1" x14ac:dyDescent="0.2">
      <c r="A4" s="414"/>
      <c r="B4" s="58" t="s">
        <v>487</v>
      </c>
      <c r="C4" s="58" t="s">
        <v>488</v>
      </c>
      <c r="E4" s="404"/>
      <c r="F4" s="406"/>
      <c r="G4" s="59" t="s">
        <v>206</v>
      </c>
      <c r="H4" s="59" t="s">
        <v>207</v>
      </c>
      <c r="I4" s="59" t="s">
        <v>208</v>
      </c>
      <c r="K4" s="406"/>
      <c r="L4" s="406"/>
      <c r="M4" s="59" t="s">
        <v>290</v>
      </c>
      <c r="N4" s="59" t="s">
        <v>291</v>
      </c>
      <c r="P4" s="417"/>
      <c r="Q4" s="417"/>
      <c r="R4" s="60" t="s">
        <v>115</v>
      </c>
      <c r="S4" s="60" t="s">
        <v>116</v>
      </c>
      <c r="U4" s="61"/>
      <c r="V4" s="61" t="s">
        <v>489</v>
      </c>
      <c r="W4" s="61" t="s">
        <v>490</v>
      </c>
      <c r="X4" s="61"/>
      <c r="Z4" s="61" t="s">
        <v>107</v>
      </c>
      <c r="AA4" s="61"/>
      <c r="AC4" s="62" t="s">
        <v>491</v>
      </c>
      <c r="AD4" s="63">
        <v>13</v>
      </c>
      <c r="AE4" s="63">
        <v>20</v>
      </c>
      <c r="AF4" s="63">
        <v>25</v>
      </c>
      <c r="AG4" s="63">
        <v>30</v>
      </c>
      <c r="AH4" s="63">
        <v>40</v>
      </c>
      <c r="AI4" s="63">
        <v>50</v>
      </c>
      <c r="AK4" s="64" t="s">
        <v>163</v>
      </c>
      <c r="AL4" s="63">
        <v>65</v>
      </c>
      <c r="AM4" s="65">
        <v>75</v>
      </c>
      <c r="AN4" s="66">
        <v>100</v>
      </c>
      <c r="AP4" s="408"/>
      <c r="AQ4" s="408"/>
      <c r="AR4" s="408"/>
      <c r="AS4" s="67" t="s">
        <v>9</v>
      </c>
      <c r="AT4" s="57" t="s">
        <v>8</v>
      </c>
      <c r="AU4" s="408"/>
      <c r="AV4" s="408"/>
      <c r="AW4" s="408"/>
      <c r="AX4" s="408"/>
      <c r="AY4" s="408"/>
      <c r="AZ4" s="67" t="s">
        <v>14</v>
      </c>
      <c r="BA4" s="57" t="s">
        <v>15</v>
      </c>
      <c r="BB4" s="408"/>
      <c r="BC4" s="408"/>
      <c r="BD4" s="408"/>
      <c r="BF4" s="407"/>
      <c r="BG4" s="407"/>
      <c r="BH4" s="60">
        <v>13</v>
      </c>
      <c r="BI4" s="60">
        <v>20</v>
      </c>
      <c r="BJ4" s="60">
        <v>25</v>
      </c>
      <c r="BK4" s="60">
        <v>30</v>
      </c>
      <c r="BL4" s="60">
        <v>40</v>
      </c>
      <c r="BM4" s="60">
        <v>50</v>
      </c>
      <c r="BN4" s="68">
        <v>75</v>
      </c>
      <c r="BP4" s="69"/>
      <c r="BQ4" s="55" t="s">
        <v>485</v>
      </c>
      <c r="BR4" s="46" t="s">
        <v>486</v>
      </c>
      <c r="BS4" s="56" t="s">
        <v>125</v>
      </c>
      <c r="BU4" s="411" t="s">
        <v>492</v>
      </c>
      <c r="BV4" s="57" t="s">
        <v>188</v>
      </c>
      <c r="BW4" s="57" t="s">
        <v>190</v>
      </c>
      <c r="BX4" s="57" t="s">
        <v>195</v>
      </c>
      <c r="BY4" s="57" t="s">
        <v>192</v>
      </c>
      <c r="BZ4" s="70" t="s">
        <v>493</v>
      </c>
      <c r="CB4" s="407" t="s">
        <v>168</v>
      </c>
      <c r="CC4" s="57" t="s">
        <v>169</v>
      </c>
      <c r="CD4" s="70" t="s">
        <v>494</v>
      </c>
    </row>
    <row r="5" spans="1:82" ht="36" x14ac:dyDescent="0.15">
      <c r="A5" s="71">
        <v>1</v>
      </c>
      <c r="B5" s="68">
        <v>42</v>
      </c>
      <c r="C5" s="72">
        <v>0.7</v>
      </c>
      <c r="E5" s="404">
        <v>1</v>
      </c>
      <c r="F5" s="404" t="s">
        <v>209</v>
      </c>
      <c r="G5" s="73" t="s">
        <v>210</v>
      </c>
      <c r="H5" s="74">
        <v>600</v>
      </c>
      <c r="I5" s="405">
        <v>12</v>
      </c>
      <c r="K5" s="404" t="s">
        <v>292</v>
      </c>
      <c r="L5" s="73" t="s">
        <v>293</v>
      </c>
      <c r="M5" s="73" t="s">
        <v>294</v>
      </c>
      <c r="N5" s="73" t="s">
        <v>295</v>
      </c>
      <c r="P5" s="60" t="s">
        <v>120</v>
      </c>
      <c r="Q5" s="60" t="s">
        <v>122</v>
      </c>
      <c r="R5" s="60">
        <v>10</v>
      </c>
      <c r="S5" s="60">
        <v>6</v>
      </c>
      <c r="U5" s="60" t="s">
        <v>117</v>
      </c>
      <c r="V5" s="60">
        <v>12</v>
      </c>
      <c r="W5" s="60">
        <v>13</v>
      </c>
      <c r="X5" s="60"/>
      <c r="Z5" s="69">
        <v>1</v>
      </c>
      <c r="AA5" s="69">
        <v>1</v>
      </c>
      <c r="AC5" s="75">
        <v>0.1</v>
      </c>
      <c r="AD5" s="76">
        <v>69</v>
      </c>
      <c r="AE5" s="77">
        <v>10</v>
      </c>
      <c r="AF5" s="77">
        <v>3.8</v>
      </c>
      <c r="AG5" s="77">
        <v>1.7</v>
      </c>
      <c r="AH5" s="78">
        <v>0.5</v>
      </c>
      <c r="AI5" s="79">
        <v>0.2</v>
      </c>
      <c r="AK5" s="80">
        <v>2.5</v>
      </c>
      <c r="AL5" s="81">
        <f>ROUND((10.666*$AN$2^-1.85*(AL$4/1000)^-4.87*($AK5/1000)^1.85)*1000,1)</f>
        <v>16.5</v>
      </c>
      <c r="AM5" s="82">
        <f t="shared" ref="AM5:AN20" si="0">ROUND((10.666*$AN$2^-1.85*(AM$4/1000)^-4.87*($AK5/1000)^1.85)*1000,1)</f>
        <v>8.1999999999999993</v>
      </c>
      <c r="AN5" s="83">
        <f t="shared" si="0"/>
        <v>2</v>
      </c>
      <c r="AP5" s="60">
        <v>13</v>
      </c>
      <c r="AQ5" s="84">
        <v>0.5</v>
      </c>
      <c r="AR5" s="85">
        <v>0.12</v>
      </c>
      <c r="AS5" s="85">
        <v>0.12</v>
      </c>
      <c r="AT5" s="84">
        <v>1.5</v>
      </c>
      <c r="AU5" s="84">
        <v>3</v>
      </c>
      <c r="AV5" s="84">
        <v>3</v>
      </c>
      <c r="AW5" s="84">
        <v>3</v>
      </c>
      <c r="AX5" s="84">
        <v>4.5</v>
      </c>
      <c r="AY5" s="84" t="s">
        <v>495</v>
      </c>
      <c r="AZ5" s="85">
        <v>0.18</v>
      </c>
      <c r="BA5" s="85">
        <v>0.9</v>
      </c>
      <c r="BB5" s="85">
        <v>0.6</v>
      </c>
      <c r="BC5" s="85">
        <v>0.36</v>
      </c>
      <c r="BD5" s="84">
        <v>0.5</v>
      </c>
      <c r="BF5" s="60">
        <v>1</v>
      </c>
      <c r="BG5" s="86">
        <f t="shared" ref="BG5:BG68" si="1">BF5/60</f>
        <v>1.6666666666666666E-2</v>
      </c>
      <c r="BH5" s="87">
        <v>4</v>
      </c>
      <c r="BI5" s="60">
        <v>1</v>
      </c>
      <c r="BJ5" s="60">
        <v>0</v>
      </c>
      <c r="BK5" s="60">
        <v>0</v>
      </c>
      <c r="BL5" s="60">
        <v>0</v>
      </c>
      <c r="BM5" s="60">
        <v>0</v>
      </c>
      <c r="BN5" s="60"/>
      <c r="BP5" s="88" t="s">
        <v>126</v>
      </c>
      <c r="BQ5" s="46" t="s">
        <v>496</v>
      </c>
      <c r="BR5" s="55" t="s">
        <v>496</v>
      </c>
      <c r="BS5" s="46" t="s">
        <v>496</v>
      </c>
      <c r="BU5" s="412"/>
      <c r="BV5" s="410" t="s">
        <v>189</v>
      </c>
      <c r="BW5" s="410" t="s">
        <v>169</v>
      </c>
      <c r="BX5" s="410" t="s">
        <v>195</v>
      </c>
      <c r="BY5" s="411" t="s">
        <v>196</v>
      </c>
      <c r="BZ5" s="412" t="s">
        <v>493</v>
      </c>
      <c r="CB5" s="408"/>
      <c r="CC5" s="57" t="s">
        <v>179</v>
      </c>
      <c r="CD5" s="70" t="s">
        <v>497</v>
      </c>
    </row>
    <row r="6" spans="1:82" ht="13.5" x14ac:dyDescent="0.15">
      <c r="A6" s="71">
        <v>2</v>
      </c>
      <c r="B6" s="68">
        <v>53</v>
      </c>
      <c r="C6" s="72">
        <v>0.9</v>
      </c>
      <c r="E6" s="404"/>
      <c r="F6" s="404"/>
      <c r="G6" s="73" t="s">
        <v>211</v>
      </c>
      <c r="H6" s="74">
        <v>110</v>
      </c>
      <c r="I6" s="405"/>
      <c r="K6" s="404"/>
      <c r="L6" s="73" t="s">
        <v>296</v>
      </c>
      <c r="M6" s="404" t="s">
        <v>295</v>
      </c>
      <c r="N6" s="404"/>
      <c r="P6" s="60" t="s">
        <v>420</v>
      </c>
      <c r="Q6" s="60" t="s">
        <v>421</v>
      </c>
      <c r="R6" s="60">
        <v>5</v>
      </c>
      <c r="S6" s="60">
        <v>3</v>
      </c>
      <c r="U6" s="60" t="s">
        <v>397</v>
      </c>
      <c r="V6" s="60">
        <v>12</v>
      </c>
      <c r="W6" s="60">
        <v>13</v>
      </c>
      <c r="X6" s="60"/>
      <c r="Z6" s="69" t="s">
        <v>498</v>
      </c>
      <c r="AA6" s="69">
        <v>2</v>
      </c>
      <c r="AC6" s="89">
        <v>0.2</v>
      </c>
      <c r="AD6" s="90">
        <v>228</v>
      </c>
      <c r="AE6" s="91">
        <v>33</v>
      </c>
      <c r="AF6" s="92">
        <v>12</v>
      </c>
      <c r="AG6" s="92">
        <v>5.3</v>
      </c>
      <c r="AH6" s="93">
        <v>1.5</v>
      </c>
      <c r="AI6" s="94">
        <v>0.5</v>
      </c>
      <c r="AK6" s="95">
        <v>2.6</v>
      </c>
      <c r="AL6" s="96">
        <f t="shared" ref="AL6:AN37" si="2">ROUND((10.666*$AN$2^-1.85*(AL$4/1000)^-4.87*($AK6/1000)^1.85)*1000,1)</f>
        <v>17.8</v>
      </c>
      <c r="AM6" s="97">
        <f t="shared" si="0"/>
        <v>8.9</v>
      </c>
      <c r="AN6" s="98">
        <f t="shared" si="0"/>
        <v>2.2000000000000002</v>
      </c>
      <c r="AP6" s="60">
        <v>20</v>
      </c>
      <c r="AQ6" s="84">
        <v>0.5</v>
      </c>
      <c r="AR6" s="85">
        <v>0.15</v>
      </c>
      <c r="AS6" s="85">
        <v>0.15</v>
      </c>
      <c r="AT6" s="84">
        <v>2</v>
      </c>
      <c r="AU6" s="84">
        <v>8</v>
      </c>
      <c r="AV6" s="84">
        <v>4</v>
      </c>
      <c r="AW6" s="84">
        <v>4</v>
      </c>
      <c r="AX6" s="84">
        <v>6</v>
      </c>
      <c r="AY6" s="84" t="s">
        <v>495</v>
      </c>
      <c r="AZ6" s="85">
        <v>0.24</v>
      </c>
      <c r="BA6" s="85">
        <v>1.2</v>
      </c>
      <c r="BB6" s="85">
        <v>0.75</v>
      </c>
      <c r="BC6" s="85">
        <v>0.45</v>
      </c>
      <c r="BD6" s="84">
        <v>0.5</v>
      </c>
      <c r="BF6" s="60">
        <v>2</v>
      </c>
      <c r="BG6" s="86">
        <f t="shared" si="1"/>
        <v>3.3333333333333333E-2</v>
      </c>
      <c r="BH6" s="87">
        <v>11</v>
      </c>
      <c r="BI6" s="60">
        <v>2</v>
      </c>
      <c r="BJ6" s="60">
        <v>1</v>
      </c>
      <c r="BK6" s="60">
        <v>0</v>
      </c>
      <c r="BL6" s="60">
        <v>0</v>
      </c>
      <c r="BM6" s="60">
        <v>0</v>
      </c>
      <c r="BN6" s="60"/>
      <c r="BP6" s="99" t="s">
        <v>127</v>
      </c>
      <c r="BQ6" s="61" t="s">
        <v>499</v>
      </c>
      <c r="BR6" s="100" t="s">
        <v>499</v>
      </c>
      <c r="BS6" s="61" t="s">
        <v>499</v>
      </c>
      <c r="BU6" s="412"/>
      <c r="BV6" s="410"/>
      <c r="BW6" s="410"/>
      <c r="BX6" s="410"/>
      <c r="BY6" s="412"/>
      <c r="BZ6" s="412"/>
      <c r="CB6" s="407" t="s">
        <v>170</v>
      </c>
      <c r="CC6" s="57" t="s">
        <v>169</v>
      </c>
      <c r="CD6" s="70" t="s">
        <v>500</v>
      </c>
    </row>
    <row r="7" spans="1:82" ht="36.75" thickBot="1" x14ac:dyDescent="0.2">
      <c r="A7" s="71">
        <v>3</v>
      </c>
      <c r="B7" s="68">
        <v>60</v>
      </c>
      <c r="C7" s="72">
        <v>1</v>
      </c>
      <c r="E7" s="404"/>
      <c r="F7" s="404"/>
      <c r="G7" s="73" t="s">
        <v>212</v>
      </c>
      <c r="H7" s="74">
        <v>10</v>
      </c>
      <c r="I7" s="74">
        <v>4</v>
      </c>
      <c r="K7" s="404"/>
      <c r="L7" s="73" t="s">
        <v>215</v>
      </c>
      <c r="M7" s="73" t="s">
        <v>294</v>
      </c>
      <c r="N7" s="73" t="s">
        <v>297</v>
      </c>
      <c r="P7" s="60" t="s">
        <v>121</v>
      </c>
      <c r="Q7" s="60" t="s">
        <v>122</v>
      </c>
      <c r="R7" s="60">
        <v>5</v>
      </c>
      <c r="S7" s="60" t="s">
        <v>495</v>
      </c>
      <c r="U7" s="60" t="s">
        <v>398</v>
      </c>
      <c r="V7" s="60">
        <v>12</v>
      </c>
      <c r="W7" s="60">
        <v>13</v>
      </c>
      <c r="X7" s="60"/>
      <c r="Z7" s="69" t="s">
        <v>501</v>
      </c>
      <c r="AA7" s="69">
        <v>3</v>
      </c>
      <c r="AC7" s="101">
        <v>0.26</v>
      </c>
      <c r="AD7" s="102">
        <v>362</v>
      </c>
      <c r="AE7" s="92">
        <v>51</v>
      </c>
      <c r="AF7" s="103">
        <v>19</v>
      </c>
      <c r="AG7" s="92">
        <v>8.3000000000000007</v>
      </c>
      <c r="AH7" s="93">
        <v>2.2999999999999998</v>
      </c>
      <c r="AI7" s="94">
        <v>0.8</v>
      </c>
      <c r="AK7" s="80">
        <v>2.7</v>
      </c>
      <c r="AL7" s="96">
        <f t="shared" si="2"/>
        <v>19.100000000000001</v>
      </c>
      <c r="AM7" s="97">
        <f t="shared" si="0"/>
        <v>9.5</v>
      </c>
      <c r="AN7" s="98">
        <f t="shared" si="0"/>
        <v>2.2999999999999998</v>
      </c>
      <c r="AP7" s="60">
        <v>25</v>
      </c>
      <c r="AQ7" s="84">
        <v>0.5</v>
      </c>
      <c r="AR7" s="85">
        <v>0.18</v>
      </c>
      <c r="AS7" s="85">
        <v>0.18</v>
      </c>
      <c r="AT7" s="84">
        <v>3</v>
      </c>
      <c r="AU7" s="84">
        <v>12</v>
      </c>
      <c r="AV7" s="84">
        <v>6</v>
      </c>
      <c r="AW7" s="84">
        <v>5</v>
      </c>
      <c r="AX7" s="84">
        <v>7.5</v>
      </c>
      <c r="AY7" s="84">
        <v>9.1999999999999993</v>
      </c>
      <c r="AZ7" s="85">
        <v>0.27</v>
      </c>
      <c r="BA7" s="85">
        <v>1.5</v>
      </c>
      <c r="BB7" s="85">
        <v>0.9</v>
      </c>
      <c r="BC7" s="85">
        <v>0.54</v>
      </c>
      <c r="BD7" s="84">
        <v>0.5</v>
      </c>
      <c r="BF7" s="60">
        <v>3</v>
      </c>
      <c r="BG7" s="86">
        <f t="shared" si="1"/>
        <v>0.05</v>
      </c>
      <c r="BH7" s="87">
        <v>22</v>
      </c>
      <c r="BI7" s="60">
        <v>3</v>
      </c>
      <c r="BJ7" s="60">
        <v>1</v>
      </c>
      <c r="BK7" s="60">
        <v>1</v>
      </c>
      <c r="BL7" s="60">
        <v>0</v>
      </c>
      <c r="BM7" s="60">
        <v>0</v>
      </c>
      <c r="BN7" s="60"/>
      <c r="BP7" s="60">
        <v>10</v>
      </c>
      <c r="BQ7" s="407" t="s">
        <v>128</v>
      </c>
      <c r="BR7" s="407" t="s">
        <v>129</v>
      </c>
      <c r="BS7" s="422" t="s">
        <v>130</v>
      </c>
      <c r="BU7" s="412"/>
      <c r="BV7" s="410" t="s">
        <v>169</v>
      </c>
      <c r="BW7" s="410" t="s">
        <v>502</v>
      </c>
      <c r="BX7" s="410" t="s">
        <v>195</v>
      </c>
      <c r="BY7" s="411" t="s">
        <v>197</v>
      </c>
      <c r="BZ7" s="412" t="s">
        <v>503</v>
      </c>
      <c r="CB7" s="409"/>
      <c r="CC7" s="57" t="s">
        <v>504</v>
      </c>
      <c r="CD7" s="70" t="s">
        <v>505</v>
      </c>
    </row>
    <row r="8" spans="1:82" ht="14.25" thickTop="1" x14ac:dyDescent="0.15">
      <c r="A8" s="71">
        <v>4</v>
      </c>
      <c r="B8" s="68">
        <v>66</v>
      </c>
      <c r="C8" s="72">
        <v>1.1000000000000001</v>
      </c>
      <c r="E8" s="404"/>
      <c r="F8" s="404" t="s">
        <v>213</v>
      </c>
      <c r="G8" s="73" t="s">
        <v>210</v>
      </c>
      <c r="H8" s="74">
        <v>450</v>
      </c>
      <c r="I8" s="405">
        <v>12</v>
      </c>
      <c r="K8" s="404"/>
      <c r="L8" s="73" t="s">
        <v>216</v>
      </c>
      <c r="M8" s="404" t="s">
        <v>298</v>
      </c>
      <c r="N8" s="404"/>
      <c r="P8" s="60" t="s">
        <v>121</v>
      </c>
      <c r="Q8" s="60" t="s">
        <v>421</v>
      </c>
      <c r="R8" s="60">
        <v>3</v>
      </c>
      <c r="S8" s="60" t="s">
        <v>495</v>
      </c>
      <c r="U8" s="60" t="s">
        <v>399</v>
      </c>
      <c r="V8" s="60">
        <v>20</v>
      </c>
      <c r="W8" s="60">
        <v>13</v>
      </c>
      <c r="X8" s="60"/>
      <c r="Z8" s="69" t="s">
        <v>506</v>
      </c>
      <c r="AA8" s="69">
        <v>4</v>
      </c>
      <c r="AC8" s="104">
        <v>0.3</v>
      </c>
      <c r="AD8" s="105">
        <v>466</v>
      </c>
      <c r="AE8" s="106">
        <v>66</v>
      </c>
      <c r="AF8" s="92">
        <v>24</v>
      </c>
      <c r="AG8" s="92">
        <v>11</v>
      </c>
      <c r="AH8" s="93">
        <v>2.9</v>
      </c>
      <c r="AI8" s="94">
        <v>1</v>
      </c>
      <c r="AK8" s="95">
        <v>2.8</v>
      </c>
      <c r="AL8" s="96">
        <f t="shared" si="2"/>
        <v>20.399999999999999</v>
      </c>
      <c r="AM8" s="97">
        <f t="shared" si="0"/>
        <v>10.199999999999999</v>
      </c>
      <c r="AN8" s="98">
        <f t="shared" si="0"/>
        <v>2.5</v>
      </c>
      <c r="AP8" s="60">
        <v>30</v>
      </c>
      <c r="AQ8" s="84">
        <v>1</v>
      </c>
      <c r="AR8" s="85">
        <v>0.24</v>
      </c>
      <c r="AS8" s="85">
        <v>0.24</v>
      </c>
      <c r="AT8" s="84">
        <v>4</v>
      </c>
      <c r="AU8" s="84">
        <v>19</v>
      </c>
      <c r="AV8" s="84">
        <v>11</v>
      </c>
      <c r="AW8" s="84">
        <v>8</v>
      </c>
      <c r="AX8" s="84">
        <v>8</v>
      </c>
      <c r="AY8" s="84">
        <v>11.9</v>
      </c>
      <c r="AZ8" s="85">
        <v>0.36</v>
      </c>
      <c r="BA8" s="85">
        <v>1.8</v>
      </c>
      <c r="BB8" s="85">
        <v>1.2</v>
      </c>
      <c r="BC8" s="85">
        <v>0.72</v>
      </c>
      <c r="BD8" s="84">
        <v>1</v>
      </c>
      <c r="BF8" s="60">
        <v>4</v>
      </c>
      <c r="BG8" s="86">
        <f t="shared" si="1"/>
        <v>6.6666666666666666E-2</v>
      </c>
      <c r="BH8" s="87">
        <v>35</v>
      </c>
      <c r="BI8" s="60">
        <v>5</v>
      </c>
      <c r="BJ8" s="60">
        <v>2</v>
      </c>
      <c r="BK8" s="60">
        <v>1</v>
      </c>
      <c r="BL8" s="60">
        <v>0</v>
      </c>
      <c r="BM8" s="60">
        <v>0</v>
      </c>
      <c r="BN8" s="60"/>
      <c r="BP8" s="60">
        <v>20</v>
      </c>
      <c r="BQ8" s="409"/>
      <c r="BR8" s="409"/>
      <c r="BS8" s="423"/>
      <c r="BU8" s="412"/>
      <c r="BV8" s="410"/>
      <c r="BW8" s="410"/>
      <c r="BX8" s="410"/>
      <c r="BY8" s="412"/>
      <c r="BZ8" s="412"/>
      <c r="CB8" s="408"/>
      <c r="CC8" s="57" t="s">
        <v>180</v>
      </c>
      <c r="CD8" s="70" t="s">
        <v>507</v>
      </c>
    </row>
    <row r="9" spans="1:82" ht="13.5" x14ac:dyDescent="0.15">
      <c r="A9" s="71">
        <v>5</v>
      </c>
      <c r="B9" s="68">
        <v>71</v>
      </c>
      <c r="C9" s="72">
        <v>1.2</v>
      </c>
      <c r="E9" s="404"/>
      <c r="F9" s="404"/>
      <c r="G9" s="73" t="s">
        <v>211</v>
      </c>
      <c r="H9" s="74">
        <v>110</v>
      </c>
      <c r="I9" s="405"/>
      <c r="K9" s="404" t="s">
        <v>299</v>
      </c>
      <c r="L9" s="73" t="s">
        <v>219</v>
      </c>
      <c r="M9" s="404" t="s">
        <v>300</v>
      </c>
      <c r="N9" s="404"/>
      <c r="P9" s="60" t="s">
        <v>149</v>
      </c>
      <c r="Q9" s="60" t="s">
        <v>422</v>
      </c>
      <c r="R9" s="60">
        <v>2</v>
      </c>
      <c r="S9" s="60">
        <v>1</v>
      </c>
      <c r="U9" s="60" t="s">
        <v>400</v>
      </c>
      <c r="V9" s="60">
        <v>40</v>
      </c>
      <c r="W9" s="60">
        <v>20</v>
      </c>
      <c r="X9" s="60"/>
      <c r="Z9" s="69" t="s">
        <v>508</v>
      </c>
      <c r="AA9" s="69">
        <v>5</v>
      </c>
      <c r="AC9" s="104">
        <v>0.4</v>
      </c>
      <c r="AD9" s="107">
        <v>777</v>
      </c>
      <c r="AE9" s="108">
        <v>108</v>
      </c>
      <c r="AF9" s="109">
        <v>39</v>
      </c>
      <c r="AG9" s="92">
        <v>17</v>
      </c>
      <c r="AH9" s="93">
        <v>4.5999999999999996</v>
      </c>
      <c r="AI9" s="94">
        <v>1.7</v>
      </c>
      <c r="AK9" s="80">
        <v>2.9</v>
      </c>
      <c r="AL9" s="96">
        <f t="shared" si="2"/>
        <v>21.8</v>
      </c>
      <c r="AM9" s="97">
        <f t="shared" si="0"/>
        <v>10.8</v>
      </c>
      <c r="AN9" s="98">
        <f t="shared" si="0"/>
        <v>2.7</v>
      </c>
      <c r="AP9" s="60">
        <v>40</v>
      </c>
      <c r="AQ9" s="84">
        <v>1</v>
      </c>
      <c r="AR9" s="85">
        <v>0.3</v>
      </c>
      <c r="AS9" s="85">
        <v>0.3</v>
      </c>
      <c r="AT9" s="84">
        <v>5</v>
      </c>
      <c r="AU9" s="84">
        <v>20</v>
      </c>
      <c r="AV9" s="84">
        <v>20</v>
      </c>
      <c r="AW9" s="84">
        <v>11</v>
      </c>
      <c r="AX9" s="84">
        <v>11</v>
      </c>
      <c r="AY9" s="84">
        <v>13.9</v>
      </c>
      <c r="AZ9" s="85">
        <v>0.45</v>
      </c>
      <c r="BA9" s="85">
        <v>2.1</v>
      </c>
      <c r="BB9" s="85">
        <v>1.5</v>
      </c>
      <c r="BC9" s="85">
        <v>0.9</v>
      </c>
      <c r="BD9" s="84">
        <v>1</v>
      </c>
      <c r="BF9" s="60">
        <v>5</v>
      </c>
      <c r="BG9" s="86">
        <f t="shared" si="1"/>
        <v>8.3333333333333329E-2</v>
      </c>
      <c r="BH9" s="87">
        <v>51</v>
      </c>
      <c r="BI9" s="60">
        <v>8</v>
      </c>
      <c r="BJ9" s="60">
        <v>3</v>
      </c>
      <c r="BK9" s="60">
        <v>1</v>
      </c>
      <c r="BL9" s="60">
        <v>0</v>
      </c>
      <c r="BM9" s="60">
        <v>0</v>
      </c>
      <c r="BN9" s="60"/>
      <c r="BP9" s="60">
        <v>30</v>
      </c>
      <c r="BQ9" s="409"/>
      <c r="BR9" s="409"/>
      <c r="BS9" s="423"/>
      <c r="BU9" s="412"/>
      <c r="BV9" s="410"/>
      <c r="BW9" s="57" t="s">
        <v>191</v>
      </c>
      <c r="BX9" s="57" t="s">
        <v>195</v>
      </c>
      <c r="BY9" s="70" t="s">
        <v>193</v>
      </c>
      <c r="BZ9" s="70" t="s">
        <v>503</v>
      </c>
      <c r="CB9" s="407" t="s">
        <v>171</v>
      </c>
      <c r="CC9" s="57" t="s">
        <v>169</v>
      </c>
      <c r="CD9" s="70" t="s">
        <v>500</v>
      </c>
    </row>
    <row r="10" spans="1:82" ht="13.5" x14ac:dyDescent="0.15">
      <c r="A10" s="71">
        <v>6</v>
      </c>
      <c r="B10" s="68">
        <v>76</v>
      </c>
      <c r="C10" s="72">
        <v>1.3</v>
      </c>
      <c r="E10" s="404"/>
      <c r="F10" s="404"/>
      <c r="G10" s="73" t="s">
        <v>212</v>
      </c>
      <c r="H10" s="74">
        <v>10</v>
      </c>
      <c r="I10" s="74">
        <v>4</v>
      </c>
      <c r="K10" s="404"/>
      <c r="L10" s="404" t="s">
        <v>220</v>
      </c>
      <c r="M10" s="404" t="s">
        <v>301</v>
      </c>
      <c r="N10" s="404"/>
      <c r="P10" s="60" t="s">
        <v>150</v>
      </c>
      <c r="Q10" s="60" t="s">
        <v>422</v>
      </c>
      <c r="R10" s="60">
        <v>1</v>
      </c>
      <c r="S10" s="60">
        <v>0.5</v>
      </c>
      <c r="U10" s="60" t="s">
        <v>509</v>
      </c>
      <c r="V10" s="60">
        <v>8</v>
      </c>
      <c r="W10" s="60">
        <v>13</v>
      </c>
      <c r="X10" s="60"/>
      <c r="Z10" s="69" t="s">
        <v>510</v>
      </c>
      <c r="AA10" s="69">
        <v>6</v>
      </c>
      <c r="AC10" s="104">
        <v>0.5</v>
      </c>
      <c r="AD10" s="107"/>
      <c r="AE10" s="108">
        <v>159</v>
      </c>
      <c r="AF10" s="92">
        <v>57</v>
      </c>
      <c r="AG10" s="92">
        <v>25</v>
      </c>
      <c r="AH10" s="93">
        <v>6.7</v>
      </c>
      <c r="AI10" s="94">
        <v>2.4</v>
      </c>
      <c r="AK10" s="95">
        <v>3</v>
      </c>
      <c r="AL10" s="96">
        <f t="shared" si="2"/>
        <v>23.2</v>
      </c>
      <c r="AM10" s="97">
        <f t="shared" si="0"/>
        <v>11.5</v>
      </c>
      <c r="AN10" s="98">
        <f t="shared" si="0"/>
        <v>2.8</v>
      </c>
      <c r="AP10" s="60">
        <v>65</v>
      </c>
      <c r="AQ10" s="84" t="s">
        <v>495</v>
      </c>
      <c r="AR10" s="84" t="s">
        <v>495</v>
      </c>
      <c r="AS10" s="84" t="s">
        <v>495</v>
      </c>
      <c r="AT10" s="84" t="s">
        <v>495</v>
      </c>
      <c r="AU10" s="84" t="s">
        <v>495</v>
      </c>
      <c r="AV10" s="84" t="s">
        <v>495</v>
      </c>
      <c r="AW10" s="84" t="s">
        <v>495</v>
      </c>
      <c r="AX10" s="84" t="s">
        <v>495</v>
      </c>
      <c r="AY10" s="84" t="s">
        <v>495</v>
      </c>
      <c r="AZ10" s="84" t="s">
        <v>495</v>
      </c>
      <c r="BA10" s="84" t="s">
        <v>495</v>
      </c>
      <c r="BB10" s="84" t="s">
        <v>495</v>
      </c>
      <c r="BC10" s="84" t="s">
        <v>495</v>
      </c>
      <c r="BD10" s="84" t="s">
        <v>495</v>
      </c>
      <c r="BF10" s="60">
        <v>6</v>
      </c>
      <c r="BG10" s="86">
        <f t="shared" si="1"/>
        <v>0.1</v>
      </c>
      <c r="BH10" s="87">
        <v>69</v>
      </c>
      <c r="BI10" s="60">
        <v>10</v>
      </c>
      <c r="BJ10" s="60">
        <v>4</v>
      </c>
      <c r="BK10" s="60">
        <v>2</v>
      </c>
      <c r="BL10" s="60">
        <v>0</v>
      </c>
      <c r="BM10" s="60">
        <v>0</v>
      </c>
      <c r="BN10" s="60"/>
      <c r="BP10" s="60">
        <v>40</v>
      </c>
      <c r="BQ10" s="408"/>
      <c r="BR10" s="409"/>
      <c r="BS10" s="423"/>
      <c r="BU10" s="412" t="s">
        <v>511</v>
      </c>
      <c r="BV10" s="410" t="s">
        <v>504</v>
      </c>
      <c r="BW10" s="57" t="s">
        <v>512</v>
      </c>
      <c r="BX10" s="57" t="s">
        <v>199</v>
      </c>
      <c r="BY10" s="70" t="s">
        <v>194</v>
      </c>
      <c r="BZ10" s="70" t="s">
        <v>503</v>
      </c>
      <c r="CB10" s="409"/>
      <c r="CC10" s="57" t="s">
        <v>504</v>
      </c>
      <c r="CD10" s="70" t="s">
        <v>513</v>
      </c>
    </row>
    <row r="11" spans="1:82" ht="13.5" x14ac:dyDescent="0.15">
      <c r="A11" s="71">
        <v>7</v>
      </c>
      <c r="B11" s="68">
        <v>80</v>
      </c>
      <c r="C11" s="72">
        <v>1.3</v>
      </c>
      <c r="E11" s="404"/>
      <c r="F11" s="404" t="s">
        <v>214</v>
      </c>
      <c r="G11" s="73" t="s">
        <v>211</v>
      </c>
      <c r="H11" s="74">
        <v>110</v>
      </c>
      <c r="I11" s="74">
        <v>8</v>
      </c>
      <c r="K11" s="404"/>
      <c r="L11" s="404"/>
      <c r="M11" s="404" t="s">
        <v>302</v>
      </c>
      <c r="N11" s="404"/>
      <c r="P11" s="60" t="s">
        <v>151</v>
      </c>
      <c r="Q11" s="60" t="s">
        <v>422</v>
      </c>
      <c r="R11" s="60">
        <v>3</v>
      </c>
      <c r="S11" s="60" t="s">
        <v>495</v>
      </c>
      <c r="U11" s="60" t="s">
        <v>401</v>
      </c>
      <c r="V11" s="60">
        <v>12</v>
      </c>
      <c r="W11" s="60">
        <v>13</v>
      </c>
      <c r="X11" s="60"/>
      <c r="Z11" s="42" t="s">
        <v>118</v>
      </c>
      <c r="AC11" s="104">
        <v>0.5</v>
      </c>
      <c r="AD11" s="107"/>
      <c r="AE11" s="108">
        <v>220</v>
      </c>
      <c r="AF11" s="92">
        <v>79</v>
      </c>
      <c r="AG11" s="92">
        <v>34</v>
      </c>
      <c r="AH11" s="93">
        <v>9.1999999999999993</v>
      </c>
      <c r="AI11" s="94">
        <v>3.3</v>
      </c>
      <c r="AK11" s="80">
        <v>3.1</v>
      </c>
      <c r="AL11" s="96">
        <f t="shared" si="2"/>
        <v>24.6</v>
      </c>
      <c r="AM11" s="97">
        <f t="shared" si="0"/>
        <v>12.3</v>
      </c>
      <c r="AN11" s="98">
        <f t="shared" si="0"/>
        <v>3</v>
      </c>
      <c r="AP11" s="60">
        <v>50</v>
      </c>
      <c r="AQ11" s="84">
        <v>1</v>
      </c>
      <c r="AR11" s="85">
        <v>0.39</v>
      </c>
      <c r="AS11" s="85" t="s">
        <v>495</v>
      </c>
      <c r="AT11" s="85" t="s">
        <v>495</v>
      </c>
      <c r="AU11" s="84">
        <v>20</v>
      </c>
      <c r="AV11" s="84">
        <v>32</v>
      </c>
      <c r="AW11" s="84">
        <v>15</v>
      </c>
      <c r="AX11" s="84">
        <v>15</v>
      </c>
      <c r="AY11" s="84">
        <v>17.600000000000001</v>
      </c>
      <c r="AZ11" s="85">
        <v>0.6</v>
      </c>
      <c r="BA11" s="85">
        <v>3</v>
      </c>
      <c r="BB11" s="85">
        <v>2.1</v>
      </c>
      <c r="BC11" s="85">
        <v>1.2</v>
      </c>
      <c r="BD11" s="84">
        <v>1</v>
      </c>
      <c r="BF11" s="60">
        <v>7</v>
      </c>
      <c r="BG11" s="86">
        <f t="shared" si="1"/>
        <v>0.11666666666666667</v>
      </c>
      <c r="BH11" s="87">
        <v>90</v>
      </c>
      <c r="BI11" s="60">
        <v>13</v>
      </c>
      <c r="BJ11" s="60">
        <v>5</v>
      </c>
      <c r="BK11" s="60">
        <v>2</v>
      </c>
      <c r="BL11" s="60">
        <v>1</v>
      </c>
      <c r="BM11" s="60">
        <v>0</v>
      </c>
      <c r="BN11" s="60"/>
      <c r="BP11" s="60">
        <v>50</v>
      </c>
      <c r="BQ11" s="60"/>
      <c r="BR11" s="409"/>
      <c r="BS11" s="423"/>
      <c r="BU11" s="412"/>
      <c r="BV11" s="410"/>
      <c r="BW11" s="57" t="s">
        <v>191</v>
      </c>
      <c r="BX11" s="57" t="s">
        <v>195</v>
      </c>
      <c r="BY11" s="70" t="s">
        <v>193</v>
      </c>
      <c r="BZ11" s="70" t="s">
        <v>503</v>
      </c>
      <c r="CB11" s="408"/>
      <c r="CC11" s="57" t="s">
        <v>180</v>
      </c>
      <c r="CD11" s="70" t="s">
        <v>507</v>
      </c>
    </row>
    <row r="12" spans="1:82" ht="14.25" thickBot="1" x14ac:dyDescent="0.2">
      <c r="A12" s="71">
        <v>8</v>
      </c>
      <c r="B12" s="68">
        <v>83</v>
      </c>
      <c r="C12" s="72">
        <v>1.4</v>
      </c>
      <c r="E12" s="404"/>
      <c r="F12" s="404"/>
      <c r="G12" s="73" t="s">
        <v>212</v>
      </c>
      <c r="H12" s="74">
        <v>10</v>
      </c>
      <c r="I12" s="74">
        <v>4</v>
      </c>
      <c r="K12" s="404"/>
      <c r="L12" s="404" t="s">
        <v>221</v>
      </c>
      <c r="M12" s="404" t="s">
        <v>303</v>
      </c>
      <c r="N12" s="404"/>
      <c r="P12" s="60" t="s">
        <v>152</v>
      </c>
      <c r="Q12" s="60" t="s">
        <v>422</v>
      </c>
      <c r="R12" s="60">
        <v>3</v>
      </c>
      <c r="S12" s="60" t="s">
        <v>495</v>
      </c>
      <c r="U12" s="60" t="s">
        <v>402</v>
      </c>
      <c r="V12" s="60">
        <v>12</v>
      </c>
      <c r="W12" s="60">
        <v>13</v>
      </c>
      <c r="X12" s="60"/>
      <c r="AC12" s="110">
        <v>0.65</v>
      </c>
      <c r="AD12" s="107"/>
      <c r="AE12" s="111">
        <v>246</v>
      </c>
      <c r="AF12" s="92">
        <v>88</v>
      </c>
      <c r="AG12" s="92">
        <v>38</v>
      </c>
      <c r="AH12" s="93">
        <v>10.199999999999999</v>
      </c>
      <c r="AI12" s="94">
        <v>3.6</v>
      </c>
      <c r="AK12" s="95">
        <v>3.2</v>
      </c>
      <c r="AL12" s="96">
        <f t="shared" si="2"/>
        <v>26.1</v>
      </c>
      <c r="AM12" s="97">
        <f t="shared" si="0"/>
        <v>13</v>
      </c>
      <c r="AN12" s="98">
        <f t="shared" si="0"/>
        <v>3.2</v>
      </c>
      <c r="AP12" s="60">
        <v>75</v>
      </c>
      <c r="AQ12" s="84">
        <v>1</v>
      </c>
      <c r="AR12" s="85">
        <v>0.63</v>
      </c>
      <c r="AS12" s="85" t="s">
        <v>495</v>
      </c>
      <c r="AT12" s="85" t="s">
        <v>495</v>
      </c>
      <c r="AU12" s="84">
        <v>25</v>
      </c>
      <c r="AV12" s="84">
        <v>5.7</v>
      </c>
      <c r="AW12" s="84" t="s">
        <v>495</v>
      </c>
      <c r="AX12" s="84">
        <v>24</v>
      </c>
      <c r="AY12" s="84">
        <v>26.9</v>
      </c>
      <c r="AZ12" s="85">
        <v>0.9</v>
      </c>
      <c r="BA12" s="85">
        <v>4.5</v>
      </c>
      <c r="BB12" s="85">
        <v>3</v>
      </c>
      <c r="BC12" s="85">
        <v>1.8</v>
      </c>
      <c r="BD12" s="84">
        <v>1</v>
      </c>
      <c r="BF12" s="60">
        <v>8</v>
      </c>
      <c r="BG12" s="86">
        <f t="shared" si="1"/>
        <v>0.13333333333333333</v>
      </c>
      <c r="BH12" s="87">
        <v>113</v>
      </c>
      <c r="BI12" s="60">
        <v>17</v>
      </c>
      <c r="BJ12" s="60">
        <v>6</v>
      </c>
      <c r="BK12" s="60">
        <v>3</v>
      </c>
      <c r="BL12" s="60">
        <v>1</v>
      </c>
      <c r="BM12" s="60">
        <v>0</v>
      </c>
      <c r="BN12" s="60"/>
      <c r="BP12" s="60">
        <v>60</v>
      </c>
      <c r="BQ12" s="60"/>
      <c r="BR12" s="408"/>
      <c r="BS12" s="424"/>
      <c r="BU12" s="411" t="s">
        <v>514</v>
      </c>
      <c r="BV12" s="410" t="s">
        <v>504</v>
      </c>
      <c r="BW12" s="410" t="s">
        <v>512</v>
      </c>
      <c r="BX12" s="410" t="s">
        <v>199</v>
      </c>
      <c r="BY12" s="411" t="s">
        <v>198</v>
      </c>
      <c r="BZ12" s="412" t="s">
        <v>503</v>
      </c>
      <c r="CB12" s="57" t="s">
        <v>172</v>
      </c>
      <c r="CC12" s="57" t="s">
        <v>179</v>
      </c>
      <c r="CD12" s="70" t="s">
        <v>515</v>
      </c>
    </row>
    <row r="13" spans="1:82" ht="14.25" thickTop="1" x14ac:dyDescent="0.15">
      <c r="A13" s="71">
        <v>9</v>
      </c>
      <c r="B13" s="68">
        <v>87</v>
      </c>
      <c r="C13" s="72">
        <v>1.5</v>
      </c>
      <c r="E13" s="404"/>
      <c r="F13" s="404" t="s">
        <v>215</v>
      </c>
      <c r="G13" s="73" t="s">
        <v>210</v>
      </c>
      <c r="H13" s="74">
        <v>700</v>
      </c>
      <c r="I13" s="405">
        <v>12</v>
      </c>
      <c r="K13" s="404"/>
      <c r="L13" s="404"/>
      <c r="M13" s="404" t="s">
        <v>304</v>
      </c>
      <c r="N13" s="404"/>
      <c r="P13" s="60" t="s">
        <v>117</v>
      </c>
      <c r="Q13" s="60" t="s">
        <v>422</v>
      </c>
      <c r="R13" s="60" t="s">
        <v>495</v>
      </c>
      <c r="S13" s="60">
        <v>3</v>
      </c>
      <c r="U13" s="60" t="s">
        <v>403</v>
      </c>
      <c r="V13" s="60">
        <v>15</v>
      </c>
      <c r="W13" s="60">
        <v>13</v>
      </c>
      <c r="X13" s="60" t="s">
        <v>123</v>
      </c>
      <c r="AC13" s="104">
        <v>0.7</v>
      </c>
      <c r="AD13" s="107"/>
      <c r="AE13" s="112">
        <v>289</v>
      </c>
      <c r="AF13" s="108">
        <v>103</v>
      </c>
      <c r="AG13" s="92">
        <v>45</v>
      </c>
      <c r="AH13" s="93">
        <v>12</v>
      </c>
      <c r="AI13" s="94">
        <v>4.2</v>
      </c>
      <c r="AK13" s="80">
        <v>3.3</v>
      </c>
      <c r="AL13" s="96">
        <f t="shared" si="2"/>
        <v>27.7</v>
      </c>
      <c r="AM13" s="97">
        <f t="shared" si="0"/>
        <v>13.8</v>
      </c>
      <c r="AN13" s="98">
        <f t="shared" si="0"/>
        <v>3.4</v>
      </c>
      <c r="AP13" s="60">
        <v>100</v>
      </c>
      <c r="AQ13" s="84">
        <v>1</v>
      </c>
      <c r="AR13" s="85">
        <v>0.81</v>
      </c>
      <c r="AS13" s="85" t="s">
        <v>495</v>
      </c>
      <c r="AT13" s="85" t="s">
        <v>495</v>
      </c>
      <c r="AU13" s="84">
        <v>30</v>
      </c>
      <c r="AV13" s="84">
        <v>7.6</v>
      </c>
      <c r="AW13" s="84" t="s">
        <v>495</v>
      </c>
      <c r="AX13" s="84">
        <v>37.5</v>
      </c>
      <c r="AY13" s="84">
        <v>35.1</v>
      </c>
      <c r="AZ13" s="85">
        <v>1.2</v>
      </c>
      <c r="BA13" s="85">
        <v>6.3</v>
      </c>
      <c r="BB13" s="85">
        <v>4.2</v>
      </c>
      <c r="BC13" s="85">
        <v>2.4</v>
      </c>
      <c r="BD13" s="84">
        <v>1</v>
      </c>
      <c r="BF13" s="60">
        <v>9</v>
      </c>
      <c r="BG13" s="86">
        <f t="shared" si="1"/>
        <v>0.15</v>
      </c>
      <c r="BH13" s="87">
        <v>138</v>
      </c>
      <c r="BI13" s="60">
        <v>20</v>
      </c>
      <c r="BJ13" s="60">
        <v>7</v>
      </c>
      <c r="BK13" s="60">
        <v>3</v>
      </c>
      <c r="BL13" s="60">
        <v>1</v>
      </c>
      <c r="BM13" s="60">
        <v>0</v>
      </c>
      <c r="BN13" s="60"/>
      <c r="BU13" s="412"/>
      <c r="BV13" s="410"/>
      <c r="BW13" s="410"/>
      <c r="BX13" s="410"/>
      <c r="BY13" s="412"/>
      <c r="BZ13" s="412"/>
      <c r="CB13" s="57" t="s">
        <v>173</v>
      </c>
      <c r="CC13" s="57" t="s">
        <v>179</v>
      </c>
      <c r="CD13" s="70" t="s">
        <v>515</v>
      </c>
    </row>
    <row r="14" spans="1:82" ht="13.5" x14ac:dyDescent="0.15">
      <c r="A14" s="71">
        <v>10</v>
      </c>
      <c r="B14" s="68">
        <v>89</v>
      </c>
      <c r="C14" s="72">
        <v>1.5</v>
      </c>
      <c r="E14" s="404"/>
      <c r="F14" s="404"/>
      <c r="G14" s="73" t="s">
        <v>211</v>
      </c>
      <c r="H14" s="74">
        <v>110</v>
      </c>
      <c r="I14" s="405"/>
      <c r="K14" s="404"/>
      <c r="L14" s="404"/>
      <c r="M14" s="404" t="s">
        <v>305</v>
      </c>
      <c r="N14" s="404"/>
      <c r="P14" s="60" t="s">
        <v>415</v>
      </c>
      <c r="Q14" s="60" t="s">
        <v>422</v>
      </c>
      <c r="R14" s="60">
        <v>4</v>
      </c>
      <c r="S14" s="60">
        <v>2</v>
      </c>
      <c r="U14" s="60" t="s">
        <v>404</v>
      </c>
      <c r="V14" s="60">
        <v>12</v>
      </c>
      <c r="W14" s="60">
        <v>13</v>
      </c>
      <c r="X14" s="60"/>
      <c r="AC14" s="104">
        <v>0.8</v>
      </c>
      <c r="AD14" s="107"/>
      <c r="AE14" s="93">
        <v>366</v>
      </c>
      <c r="AF14" s="108">
        <v>131</v>
      </c>
      <c r="AG14" s="92">
        <v>56</v>
      </c>
      <c r="AH14" s="93">
        <v>15</v>
      </c>
      <c r="AI14" s="94">
        <v>5.3</v>
      </c>
      <c r="AK14" s="95">
        <v>3.4</v>
      </c>
      <c r="AL14" s="96">
        <f t="shared" si="2"/>
        <v>29.2</v>
      </c>
      <c r="AM14" s="97">
        <f t="shared" si="0"/>
        <v>14.6</v>
      </c>
      <c r="AN14" s="98">
        <f t="shared" si="0"/>
        <v>3.6</v>
      </c>
      <c r="AP14" s="60">
        <v>150</v>
      </c>
      <c r="AQ14" s="84">
        <v>1</v>
      </c>
      <c r="AR14" s="85">
        <v>1.2</v>
      </c>
      <c r="AS14" s="85" t="s">
        <v>495</v>
      </c>
      <c r="AT14" s="85" t="s">
        <v>495</v>
      </c>
      <c r="AU14" s="84">
        <v>90</v>
      </c>
      <c r="AV14" s="84">
        <v>12</v>
      </c>
      <c r="AW14" s="84" t="s">
        <v>495</v>
      </c>
      <c r="AX14" s="84">
        <v>49.5</v>
      </c>
      <c r="AY14" s="84">
        <v>51.7</v>
      </c>
      <c r="AZ14" s="85">
        <v>1.8</v>
      </c>
      <c r="BA14" s="85">
        <v>9</v>
      </c>
      <c r="BB14" s="85">
        <v>6</v>
      </c>
      <c r="BC14" s="85">
        <v>3.6</v>
      </c>
      <c r="BD14" s="84">
        <v>1</v>
      </c>
      <c r="BF14" s="60">
        <v>10</v>
      </c>
      <c r="BG14" s="86">
        <f t="shared" si="1"/>
        <v>0.16666666666666666</v>
      </c>
      <c r="BH14" s="87">
        <v>166</v>
      </c>
      <c r="BI14" s="60">
        <v>24</v>
      </c>
      <c r="BJ14" s="60">
        <v>9</v>
      </c>
      <c r="BK14" s="60">
        <v>4</v>
      </c>
      <c r="BL14" s="60">
        <v>1</v>
      </c>
      <c r="BM14" s="60">
        <v>0</v>
      </c>
      <c r="BN14" s="60"/>
      <c r="BU14" s="412"/>
      <c r="BV14" s="410"/>
      <c r="BW14" s="57" t="s">
        <v>191</v>
      </c>
      <c r="BX14" s="57" t="s">
        <v>195</v>
      </c>
      <c r="BY14" s="70" t="s">
        <v>193</v>
      </c>
      <c r="BZ14" s="70" t="s">
        <v>503</v>
      </c>
      <c r="CB14" s="57" t="s">
        <v>174</v>
      </c>
      <c r="CC14" s="57" t="s">
        <v>181</v>
      </c>
      <c r="CD14" s="70" t="s">
        <v>516</v>
      </c>
    </row>
    <row r="15" spans="1:82" ht="13.5" x14ac:dyDescent="0.15">
      <c r="A15" s="71">
        <v>11</v>
      </c>
      <c r="B15" s="68">
        <v>95</v>
      </c>
      <c r="C15" s="72">
        <v>1.6</v>
      </c>
      <c r="E15" s="404"/>
      <c r="F15" s="404"/>
      <c r="G15" s="73" t="s">
        <v>212</v>
      </c>
      <c r="H15" s="74">
        <v>250</v>
      </c>
      <c r="I15" s="405"/>
      <c r="K15" s="404"/>
      <c r="L15" s="404"/>
      <c r="M15" s="404" t="s">
        <v>306</v>
      </c>
      <c r="N15" s="404"/>
      <c r="P15" s="60" t="s">
        <v>416</v>
      </c>
      <c r="Q15" s="60" t="s">
        <v>422</v>
      </c>
      <c r="R15" s="60">
        <v>5</v>
      </c>
      <c r="S15" s="60" t="s">
        <v>495</v>
      </c>
      <c r="U15" s="60" t="s">
        <v>405</v>
      </c>
      <c r="V15" s="60">
        <v>70</v>
      </c>
      <c r="W15" s="60">
        <v>25</v>
      </c>
      <c r="X15" s="60"/>
      <c r="AC15" s="104">
        <v>0.9</v>
      </c>
      <c r="AD15" s="92"/>
      <c r="AE15" s="93"/>
      <c r="AF15" s="108">
        <v>161</v>
      </c>
      <c r="AG15" s="92">
        <v>69</v>
      </c>
      <c r="AH15" s="93">
        <v>18</v>
      </c>
      <c r="AI15" s="94">
        <v>6.5</v>
      </c>
      <c r="AK15" s="80">
        <v>3.5</v>
      </c>
      <c r="AL15" s="96">
        <f t="shared" si="2"/>
        <v>30.8</v>
      </c>
      <c r="AM15" s="97">
        <f t="shared" si="0"/>
        <v>15.4</v>
      </c>
      <c r="AN15" s="98">
        <f t="shared" si="0"/>
        <v>3.8</v>
      </c>
      <c r="BF15" s="60">
        <v>11</v>
      </c>
      <c r="BG15" s="86">
        <f t="shared" si="1"/>
        <v>0.18333333333333332</v>
      </c>
      <c r="BH15" s="87">
        <v>196</v>
      </c>
      <c r="BI15" s="60">
        <v>28</v>
      </c>
      <c r="BJ15" s="60">
        <v>10</v>
      </c>
      <c r="BK15" s="60">
        <v>5</v>
      </c>
      <c r="BL15" s="60">
        <v>1</v>
      </c>
      <c r="BM15" s="60">
        <v>0</v>
      </c>
      <c r="BN15" s="60"/>
      <c r="BU15" s="411" t="s">
        <v>517</v>
      </c>
      <c r="BV15" s="410" t="s">
        <v>518</v>
      </c>
      <c r="BW15" s="410" t="s">
        <v>519</v>
      </c>
      <c r="BX15" s="410" t="s">
        <v>199</v>
      </c>
      <c r="BY15" s="411" t="s">
        <v>200</v>
      </c>
      <c r="BZ15" s="412" t="s">
        <v>503</v>
      </c>
      <c r="CB15" s="57" t="s">
        <v>175</v>
      </c>
      <c r="CC15" s="57" t="s">
        <v>181</v>
      </c>
      <c r="CD15" s="70" t="s">
        <v>516</v>
      </c>
    </row>
    <row r="16" spans="1:82" ht="14.25" thickBot="1" x14ac:dyDescent="0.2">
      <c r="A16" s="71">
        <v>12</v>
      </c>
      <c r="B16" s="68">
        <v>100</v>
      </c>
      <c r="C16" s="72">
        <v>1.7</v>
      </c>
      <c r="E16" s="404"/>
      <c r="F16" s="404" t="s">
        <v>216</v>
      </c>
      <c r="G16" s="73" t="s">
        <v>217</v>
      </c>
      <c r="H16" s="74">
        <v>250</v>
      </c>
      <c r="I16" s="405">
        <v>10</v>
      </c>
      <c r="K16" s="404"/>
      <c r="L16" s="404"/>
      <c r="M16" s="404" t="s">
        <v>307</v>
      </c>
      <c r="N16" s="404"/>
      <c r="P16" s="60" t="s">
        <v>417</v>
      </c>
      <c r="Q16" s="60" t="s">
        <v>422</v>
      </c>
      <c r="R16" s="60" t="s">
        <v>520</v>
      </c>
      <c r="S16" s="60">
        <v>3</v>
      </c>
      <c r="U16" s="60" t="s">
        <v>406</v>
      </c>
      <c r="V16" s="60">
        <v>12</v>
      </c>
      <c r="W16" s="60">
        <v>13</v>
      </c>
      <c r="X16" s="60"/>
      <c r="AC16" s="104">
        <v>1</v>
      </c>
      <c r="AD16" s="92"/>
      <c r="AE16" s="93"/>
      <c r="AF16" s="111">
        <v>194</v>
      </c>
      <c r="AG16" s="92">
        <v>83</v>
      </c>
      <c r="AH16" s="93">
        <v>22</v>
      </c>
      <c r="AI16" s="94">
        <v>7.8</v>
      </c>
      <c r="AK16" s="95">
        <v>3.6</v>
      </c>
      <c r="AL16" s="96">
        <f t="shared" si="2"/>
        <v>32.5</v>
      </c>
      <c r="AM16" s="97">
        <f t="shared" si="0"/>
        <v>16.2</v>
      </c>
      <c r="AN16" s="98">
        <f t="shared" si="0"/>
        <v>4</v>
      </c>
      <c r="BF16" s="60">
        <v>12</v>
      </c>
      <c r="BG16" s="86">
        <f t="shared" si="1"/>
        <v>0.2</v>
      </c>
      <c r="BH16" s="60">
        <v>228</v>
      </c>
      <c r="BI16" s="60">
        <v>33</v>
      </c>
      <c r="BJ16" s="60">
        <v>12</v>
      </c>
      <c r="BK16" s="60">
        <v>5</v>
      </c>
      <c r="BL16" s="60">
        <v>1</v>
      </c>
      <c r="BM16" s="60">
        <v>1</v>
      </c>
      <c r="BN16" s="60"/>
      <c r="BU16" s="412"/>
      <c r="BV16" s="410"/>
      <c r="BW16" s="410"/>
      <c r="BX16" s="410"/>
      <c r="BY16" s="412"/>
      <c r="BZ16" s="412"/>
      <c r="CB16" s="57" t="s">
        <v>176</v>
      </c>
      <c r="CC16" s="57" t="s">
        <v>181</v>
      </c>
      <c r="CD16" s="70" t="s">
        <v>521</v>
      </c>
    </row>
    <row r="17" spans="1:82" ht="14.25" thickTop="1" x14ac:dyDescent="0.15">
      <c r="A17" s="71">
        <v>13</v>
      </c>
      <c r="B17" s="68">
        <v>106</v>
      </c>
      <c r="C17" s="72">
        <v>1.8</v>
      </c>
      <c r="E17" s="404"/>
      <c r="F17" s="404"/>
      <c r="G17" s="73" t="s">
        <v>211</v>
      </c>
      <c r="H17" s="74">
        <v>110</v>
      </c>
      <c r="I17" s="405"/>
      <c r="K17" s="404" t="s">
        <v>308</v>
      </c>
      <c r="L17" s="73" t="s">
        <v>234</v>
      </c>
      <c r="M17" s="404" t="s">
        <v>298</v>
      </c>
      <c r="N17" s="404"/>
      <c r="P17" s="60" t="s">
        <v>418</v>
      </c>
      <c r="Q17" s="60" t="s">
        <v>423</v>
      </c>
      <c r="R17" s="60">
        <v>2</v>
      </c>
      <c r="S17" s="60" t="s">
        <v>520</v>
      </c>
      <c r="U17" s="60" t="s">
        <v>407</v>
      </c>
      <c r="V17" s="60">
        <v>20</v>
      </c>
      <c r="W17" s="60">
        <v>13</v>
      </c>
      <c r="X17" s="60"/>
      <c r="AC17" s="104">
        <v>1.1000000000000001</v>
      </c>
      <c r="AD17" s="92"/>
      <c r="AE17" s="92"/>
      <c r="AF17" s="112">
        <v>230</v>
      </c>
      <c r="AG17" s="108">
        <v>99</v>
      </c>
      <c r="AH17" s="93">
        <v>26</v>
      </c>
      <c r="AI17" s="94">
        <v>9.1999999999999993</v>
      </c>
      <c r="AK17" s="80">
        <v>3.7</v>
      </c>
      <c r="AL17" s="96">
        <f t="shared" si="2"/>
        <v>34.200000000000003</v>
      </c>
      <c r="AM17" s="97">
        <f t="shared" si="0"/>
        <v>17</v>
      </c>
      <c r="AN17" s="98">
        <f t="shared" si="0"/>
        <v>4.2</v>
      </c>
      <c r="BF17" s="60">
        <v>13</v>
      </c>
      <c r="BG17" s="86">
        <f t="shared" si="1"/>
        <v>0.21666666666666667</v>
      </c>
      <c r="BH17" s="60">
        <v>263</v>
      </c>
      <c r="BI17" s="60">
        <v>38</v>
      </c>
      <c r="BJ17" s="60">
        <v>14</v>
      </c>
      <c r="BK17" s="60">
        <v>6</v>
      </c>
      <c r="BL17" s="60">
        <v>2</v>
      </c>
      <c r="BM17" s="60">
        <v>1</v>
      </c>
      <c r="BN17" s="60"/>
      <c r="BU17" s="412"/>
      <c r="BV17" s="410"/>
      <c r="BW17" s="410"/>
      <c r="BX17" s="410"/>
      <c r="BY17" s="412"/>
      <c r="BZ17" s="412"/>
      <c r="CB17" s="407" t="s">
        <v>177</v>
      </c>
      <c r="CC17" s="57" t="s">
        <v>169</v>
      </c>
      <c r="CD17" s="70" t="s">
        <v>522</v>
      </c>
    </row>
    <row r="18" spans="1:82" ht="13.5" x14ac:dyDescent="0.15">
      <c r="A18" s="71">
        <v>14</v>
      </c>
      <c r="B18" s="68">
        <v>111</v>
      </c>
      <c r="C18" s="72">
        <v>1.9</v>
      </c>
      <c r="E18" s="404"/>
      <c r="F18" s="404"/>
      <c r="G18" s="73" t="s">
        <v>218</v>
      </c>
      <c r="H18" s="74">
        <v>80</v>
      </c>
      <c r="I18" s="74">
        <v>8</v>
      </c>
      <c r="K18" s="404"/>
      <c r="L18" s="404" t="s">
        <v>226</v>
      </c>
      <c r="M18" s="404" t="s">
        <v>298</v>
      </c>
      <c r="N18" s="404"/>
      <c r="P18" s="60" t="s">
        <v>419</v>
      </c>
      <c r="Q18" s="60" t="s">
        <v>422</v>
      </c>
      <c r="R18" s="60">
        <v>4</v>
      </c>
      <c r="S18" s="60">
        <v>3</v>
      </c>
      <c r="U18" s="60" t="s">
        <v>408</v>
      </c>
      <c r="V18" s="60">
        <v>40</v>
      </c>
      <c r="W18" s="60">
        <v>20</v>
      </c>
      <c r="X18" s="60"/>
      <c r="AC18" s="104">
        <v>1.2</v>
      </c>
      <c r="AD18" s="92"/>
      <c r="AE18" s="92"/>
      <c r="AF18" s="93">
        <v>268</v>
      </c>
      <c r="AG18" s="108">
        <v>115</v>
      </c>
      <c r="AH18" s="93">
        <v>30</v>
      </c>
      <c r="AI18" s="94">
        <v>11</v>
      </c>
      <c r="AK18" s="95">
        <v>3.8</v>
      </c>
      <c r="AL18" s="96">
        <f t="shared" si="2"/>
        <v>35.9</v>
      </c>
      <c r="AM18" s="97">
        <f t="shared" si="0"/>
        <v>17.899999999999999</v>
      </c>
      <c r="AN18" s="98">
        <f t="shared" si="0"/>
        <v>4.4000000000000004</v>
      </c>
      <c r="BF18" s="60">
        <v>14</v>
      </c>
      <c r="BG18" s="86">
        <f t="shared" si="1"/>
        <v>0.23333333333333334</v>
      </c>
      <c r="BH18" s="60">
        <v>299</v>
      </c>
      <c r="BI18" s="60">
        <v>43</v>
      </c>
      <c r="BJ18" s="60">
        <v>16</v>
      </c>
      <c r="BK18" s="60">
        <v>7</v>
      </c>
      <c r="BL18" s="60">
        <v>2</v>
      </c>
      <c r="BM18" s="60">
        <v>1</v>
      </c>
      <c r="BN18" s="60"/>
      <c r="BU18" s="412"/>
      <c r="BV18" s="410" t="s">
        <v>202</v>
      </c>
      <c r="BW18" s="410" t="s">
        <v>191</v>
      </c>
      <c r="BX18" s="410" t="s">
        <v>199</v>
      </c>
      <c r="BY18" s="411" t="s">
        <v>200</v>
      </c>
      <c r="BZ18" s="412" t="s">
        <v>523</v>
      </c>
      <c r="CB18" s="408"/>
      <c r="CC18" s="57" t="s">
        <v>524</v>
      </c>
      <c r="CD18" s="70" t="s">
        <v>525</v>
      </c>
    </row>
    <row r="19" spans="1:82" ht="13.5" x14ac:dyDescent="0.15">
      <c r="A19" s="71">
        <v>15</v>
      </c>
      <c r="B19" s="68">
        <v>117</v>
      </c>
      <c r="C19" s="72">
        <v>2</v>
      </c>
      <c r="E19" s="404">
        <v>2</v>
      </c>
      <c r="F19" s="73" t="s">
        <v>219</v>
      </c>
      <c r="G19" s="73" t="s">
        <v>217</v>
      </c>
      <c r="H19" s="74">
        <v>250</v>
      </c>
      <c r="I19" s="405">
        <v>12</v>
      </c>
      <c r="K19" s="404"/>
      <c r="L19" s="404"/>
      <c r="M19" s="404" t="s">
        <v>309</v>
      </c>
      <c r="N19" s="404"/>
      <c r="P19" s="60" t="s">
        <v>414</v>
      </c>
      <c r="Q19" s="60" t="s">
        <v>422</v>
      </c>
      <c r="R19" s="60">
        <v>4</v>
      </c>
      <c r="S19" s="60">
        <v>2</v>
      </c>
      <c r="AC19" s="104">
        <v>1.3</v>
      </c>
      <c r="AD19" s="92"/>
      <c r="AE19" s="92"/>
      <c r="AF19" s="93"/>
      <c r="AG19" s="108">
        <v>132</v>
      </c>
      <c r="AH19" s="93">
        <v>35</v>
      </c>
      <c r="AI19" s="94">
        <v>12</v>
      </c>
      <c r="AK19" s="80">
        <v>3.9</v>
      </c>
      <c r="AL19" s="96">
        <f t="shared" si="2"/>
        <v>37.700000000000003</v>
      </c>
      <c r="AM19" s="97">
        <f t="shared" si="0"/>
        <v>18.8</v>
      </c>
      <c r="AN19" s="98">
        <f t="shared" si="0"/>
        <v>4.5999999999999996</v>
      </c>
      <c r="BF19" s="60">
        <v>15</v>
      </c>
      <c r="BG19" s="86">
        <f t="shared" si="1"/>
        <v>0.25</v>
      </c>
      <c r="BH19" s="60">
        <v>338</v>
      </c>
      <c r="BI19" s="60">
        <v>48</v>
      </c>
      <c r="BJ19" s="60">
        <v>18</v>
      </c>
      <c r="BK19" s="60">
        <v>8</v>
      </c>
      <c r="BL19" s="60">
        <v>2</v>
      </c>
      <c r="BM19" s="60">
        <v>1</v>
      </c>
      <c r="BN19" s="60"/>
      <c r="BU19" s="412"/>
      <c r="BV19" s="410"/>
      <c r="BW19" s="410"/>
      <c r="BX19" s="410"/>
      <c r="BY19" s="412"/>
      <c r="BZ19" s="412"/>
      <c r="CB19" s="57" t="s">
        <v>178</v>
      </c>
      <c r="CC19" s="57" t="s">
        <v>180</v>
      </c>
      <c r="CD19" s="70" t="s">
        <v>526</v>
      </c>
    </row>
    <row r="20" spans="1:82" ht="24.75" thickBot="1" x14ac:dyDescent="0.2">
      <c r="A20" s="71">
        <v>16</v>
      </c>
      <c r="B20" s="68">
        <v>122</v>
      </c>
      <c r="C20" s="72">
        <v>2</v>
      </c>
      <c r="E20" s="404"/>
      <c r="F20" s="73" t="s">
        <v>220</v>
      </c>
      <c r="G20" s="73" t="s">
        <v>217</v>
      </c>
      <c r="H20" s="74">
        <v>400</v>
      </c>
      <c r="I20" s="405"/>
      <c r="K20" s="404"/>
      <c r="L20" s="73" t="s">
        <v>310</v>
      </c>
      <c r="M20" s="404" t="s">
        <v>298</v>
      </c>
      <c r="N20" s="404"/>
      <c r="P20" s="60" t="s">
        <v>527</v>
      </c>
      <c r="Q20" s="60" t="s">
        <v>422</v>
      </c>
      <c r="R20" s="60">
        <v>4</v>
      </c>
      <c r="S20" s="60">
        <v>2</v>
      </c>
      <c r="AC20" s="104">
        <v>1.4</v>
      </c>
      <c r="AD20" s="92"/>
      <c r="AE20" s="92"/>
      <c r="AF20" s="93"/>
      <c r="AG20" s="111">
        <v>151</v>
      </c>
      <c r="AH20" s="93">
        <v>40</v>
      </c>
      <c r="AI20" s="94">
        <v>14</v>
      </c>
      <c r="AK20" s="95">
        <v>4</v>
      </c>
      <c r="AL20" s="96">
        <f t="shared" si="2"/>
        <v>39.5</v>
      </c>
      <c r="AM20" s="97">
        <f t="shared" si="0"/>
        <v>19.7</v>
      </c>
      <c r="AN20" s="98">
        <f t="shared" si="0"/>
        <v>4.8</v>
      </c>
      <c r="BF20" s="60">
        <v>16</v>
      </c>
      <c r="BG20" s="86">
        <f t="shared" si="1"/>
        <v>0.26666666666666666</v>
      </c>
      <c r="BH20" s="60">
        <v>378</v>
      </c>
      <c r="BI20" s="60">
        <v>54</v>
      </c>
      <c r="BJ20" s="60">
        <v>20</v>
      </c>
      <c r="BK20" s="60">
        <v>9</v>
      </c>
      <c r="BL20" s="60">
        <v>2</v>
      </c>
      <c r="BM20" s="60">
        <v>1</v>
      </c>
      <c r="BN20" s="60"/>
      <c r="BU20" s="412"/>
      <c r="BV20" s="410"/>
      <c r="BW20" s="410"/>
      <c r="BX20" s="410"/>
      <c r="BY20" s="412"/>
      <c r="BZ20" s="412"/>
    </row>
    <row r="21" spans="1:82" ht="14.25" thickTop="1" x14ac:dyDescent="0.15">
      <c r="A21" s="71">
        <v>17</v>
      </c>
      <c r="B21" s="68">
        <v>127</v>
      </c>
      <c r="C21" s="72">
        <v>2.1</v>
      </c>
      <c r="E21" s="404"/>
      <c r="F21" s="404" t="s">
        <v>221</v>
      </c>
      <c r="G21" s="73" t="s">
        <v>217</v>
      </c>
      <c r="H21" s="74">
        <v>250</v>
      </c>
      <c r="I21" s="74">
        <v>12</v>
      </c>
      <c r="K21" s="404"/>
      <c r="L21" s="73" t="s">
        <v>311</v>
      </c>
      <c r="M21" s="404" t="s">
        <v>298</v>
      </c>
      <c r="N21" s="404"/>
      <c r="P21" s="60" t="s">
        <v>413</v>
      </c>
      <c r="Q21" s="60" t="s">
        <v>424</v>
      </c>
      <c r="R21" s="60" t="s">
        <v>520</v>
      </c>
      <c r="S21" s="60">
        <v>8</v>
      </c>
      <c r="AC21" s="104">
        <v>1.5</v>
      </c>
      <c r="AD21" s="92"/>
      <c r="AE21" s="92"/>
      <c r="AF21" s="92"/>
      <c r="AG21" s="112">
        <v>171</v>
      </c>
      <c r="AH21" s="108">
        <v>45</v>
      </c>
      <c r="AI21" s="94">
        <v>16</v>
      </c>
      <c r="AK21" s="80">
        <v>4.0999999999999996</v>
      </c>
      <c r="AL21" s="96">
        <f t="shared" si="2"/>
        <v>41.3</v>
      </c>
      <c r="AM21" s="97">
        <f t="shared" si="2"/>
        <v>20.6</v>
      </c>
      <c r="AN21" s="98">
        <f t="shared" si="2"/>
        <v>5.0999999999999996</v>
      </c>
      <c r="BF21" s="60">
        <v>17</v>
      </c>
      <c r="BG21" s="86">
        <f t="shared" si="1"/>
        <v>0.28333333333333333</v>
      </c>
      <c r="BH21" s="60">
        <v>421</v>
      </c>
      <c r="BI21" s="60">
        <v>59</v>
      </c>
      <c r="BJ21" s="60">
        <v>22</v>
      </c>
      <c r="BK21" s="60">
        <v>10</v>
      </c>
      <c r="BL21" s="60">
        <v>3</v>
      </c>
      <c r="BM21" s="60">
        <v>1</v>
      </c>
      <c r="BN21" s="60"/>
      <c r="BU21" s="70" t="s">
        <v>528</v>
      </c>
      <c r="BV21" s="57" t="s">
        <v>179</v>
      </c>
      <c r="BW21" s="57" t="s">
        <v>180</v>
      </c>
      <c r="BX21" s="57" t="s">
        <v>199</v>
      </c>
      <c r="BY21" s="70" t="s">
        <v>201</v>
      </c>
      <c r="BZ21" s="70" t="s">
        <v>528</v>
      </c>
    </row>
    <row r="22" spans="1:82" ht="13.5" x14ac:dyDescent="0.15">
      <c r="A22" s="113">
        <v>18</v>
      </c>
      <c r="B22" s="68">
        <v>132</v>
      </c>
      <c r="C22" s="72">
        <v>2.2000000000000002</v>
      </c>
      <c r="E22" s="404"/>
      <c r="F22" s="404"/>
      <c r="G22" s="73" t="s">
        <v>222</v>
      </c>
      <c r="H22" s="74">
        <v>100</v>
      </c>
      <c r="I22" s="74">
        <v>8</v>
      </c>
      <c r="K22" s="404"/>
      <c r="L22" s="73" t="s">
        <v>230</v>
      </c>
      <c r="M22" s="404"/>
      <c r="N22" s="404"/>
      <c r="P22" s="60" t="s">
        <v>413</v>
      </c>
      <c r="Q22" s="60" t="s">
        <v>425</v>
      </c>
      <c r="R22" s="60" t="s">
        <v>529</v>
      </c>
      <c r="S22" s="60">
        <v>6</v>
      </c>
      <c r="AC22" s="104">
        <v>1.6</v>
      </c>
      <c r="AD22" s="92"/>
      <c r="AE22" s="92"/>
      <c r="AF22" s="92"/>
      <c r="AG22" s="93">
        <v>192</v>
      </c>
      <c r="AH22" s="108">
        <v>50</v>
      </c>
      <c r="AI22" s="94">
        <v>18</v>
      </c>
      <c r="AK22" s="95">
        <v>4.2</v>
      </c>
      <c r="AL22" s="96">
        <f t="shared" si="2"/>
        <v>43.2</v>
      </c>
      <c r="AM22" s="97">
        <f t="shared" si="2"/>
        <v>21.5</v>
      </c>
      <c r="AN22" s="98">
        <f t="shared" si="2"/>
        <v>5.3</v>
      </c>
      <c r="BF22" s="60">
        <v>18</v>
      </c>
      <c r="BG22" s="86">
        <f t="shared" si="1"/>
        <v>0.3</v>
      </c>
      <c r="BH22" s="60">
        <v>466</v>
      </c>
      <c r="BI22" s="60">
        <v>66</v>
      </c>
      <c r="BJ22" s="60">
        <v>24</v>
      </c>
      <c r="BK22" s="60">
        <v>11</v>
      </c>
      <c r="BL22" s="60">
        <v>3</v>
      </c>
      <c r="BM22" s="60">
        <v>1</v>
      </c>
      <c r="BN22" s="60"/>
    </row>
    <row r="23" spans="1:82" ht="24" x14ac:dyDescent="0.15">
      <c r="A23" s="113">
        <v>19</v>
      </c>
      <c r="B23" s="68">
        <v>137</v>
      </c>
      <c r="C23" s="72">
        <v>2.2999999999999998</v>
      </c>
      <c r="E23" s="404">
        <v>3</v>
      </c>
      <c r="F23" s="404" t="s">
        <v>223</v>
      </c>
      <c r="G23" s="73" t="s">
        <v>224</v>
      </c>
      <c r="H23" s="74">
        <v>360</v>
      </c>
      <c r="I23" s="405">
        <v>10</v>
      </c>
      <c r="K23" s="404" t="s">
        <v>312</v>
      </c>
      <c r="L23" s="73" t="s">
        <v>313</v>
      </c>
      <c r="M23" s="404" t="s">
        <v>530</v>
      </c>
      <c r="N23" s="73" t="s">
        <v>314</v>
      </c>
      <c r="P23" s="60" t="s">
        <v>412</v>
      </c>
      <c r="Q23" s="60" t="s">
        <v>426</v>
      </c>
      <c r="R23" s="60">
        <v>2</v>
      </c>
      <c r="S23" s="60">
        <v>1</v>
      </c>
      <c r="AC23" s="104">
        <v>1.7</v>
      </c>
      <c r="AD23" s="92"/>
      <c r="AE23" s="92"/>
      <c r="AF23" s="92"/>
      <c r="AG23" s="93"/>
      <c r="AH23" s="108">
        <v>56</v>
      </c>
      <c r="AI23" s="94">
        <v>20</v>
      </c>
      <c r="AK23" s="80">
        <v>4.3</v>
      </c>
      <c r="AL23" s="96">
        <f t="shared" si="2"/>
        <v>45.1</v>
      </c>
      <c r="AM23" s="97">
        <f t="shared" si="2"/>
        <v>22.5</v>
      </c>
      <c r="AN23" s="98">
        <f t="shared" si="2"/>
        <v>5.5</v>
      </c>
      <c r="BF23" s="60">
        <v>19</v>
      </c>
      <c r="BG23" s="86">
        <f t="shared" si="1"/>
        <v>0.31666666666666665</v>
      </c>
      <c r="BH23" s="60">
        <v>513</v>
      </c>
      <c r="BI23" s="60">
        <v>72</v>
      </c>
      <c r="BJ23" s="60">
        <v>26</v>
      </c>
      <c r="BK23" s="60">
        <v>12</v>
      </c>
      <c r="BL23" s="60">
        <v>3</v>
      </c>
      <c r="BM23" s="60">
        <v>1</v>
      </c>
      <c r="BN23" s="60"/>
    </row>
    <row r="24" spans="1:82" ht="48" x14ac:dyDescent="0.15">
      <c r="A24" s="113">
        <v>20</v>
      </c>
      <c r="B24" s="68">
        <v>141</v>
      </c>
      <c r="C24" s="72">
        <v>2.4</v>
      </c>
      <c r="E24" s="404"/>
      <c r="F24" s="404"/>
      <c r="G24" s="73" t="s">
        <v>225</v>
      </c>
      <c r="H24" s="74">
        <v>110</v>
      </c>
      <c r="I24" s="405"/>
      <c r="K24" s="404"/>
      <c r="L24" s="73" t="s">
        <v>315</v>
      </c>
      <c r="M24" s="404"/>
      <c r="N24" s="73" t="s">
        <v>316</v>
      </c>
      <c r="P24" s="60" t="s">
        <v>411</v>
      </c>
      <c r="Q24" s="60" t="s">
        <v>531</v>
      </c>
      <c r="R24" s="60">
        <v>2</v>
      </c>
      <c r="S24" s="60" t="s">
        <v>532</v>
      </c>
      <c r="AC24" s="104">
        <v>1.8</v>
      </c>
      <c r="AD24" s="92"/>
      <c r="AE24" s="92"/>
      <c r="AF24" s="92"/>
      <c r="AG24" s="93"/>
      <c r="AH24" s="108">
        <v>62</v>
      </c>
      <c r="AI24" s="94">
        <v>22</v>
      </c>
      <c r="AK24" s="95">
        <v>4.4000000000000004</v>
      </c>
      <c r="AL24" s="96">
        <f t="shared" si="2"/>
        <v>47.1</v>
      </c>
      <c r="AM24" s="97">
        <f t="shared" si="2"/>
        <v>23.5</v>
      </c>
      <c r="AN24" s="98">
        <f t="shared" si="2"/>
        <v>5.8</v>
      </c>
      <c r="BF24" s="60">
        <v>20</v>
      </c>
      <c r="BG24" s="86">
        <f t="shared" si="1"/>
        <v>0.33333333333333331</v>
      </c>
      <c r="BH24" s="60">
        <v>561</v>
      </c>
      <c r="BI24" s="60">
        <v>79</v>
      </c>
      <c r="BJ24" s="60">
        <v>29</v>
      </c>
      <c r="BK24" s="60">
        <v>13</v>
      </c>
      <c r="BL24" s="60">
        <v>3</v>
      </c>
      <c r="BM24" s="60">
        <v>1</v>
      </c>
      <c r="BN24" s="60"/>
    </row>
    <row r="25" spans="1:82" ht="13.5" x14ac:dyDescent="0.15">
      <c r="A25" s="113">
        <v>21</v>
      </c>
      <c r="B25" s="68">
        <v>146</v>
      </c>
      <c r="C25" s="72">
        <v>2.4</v>
      </c>
      <c r="E25" s="404"/>
      <c r="F25" s="73" t="s">
        <v>226</v>
      </c>
      <c r="G25" s="73" t="s">
        <v>217</v>
      </c>
      <c r="H25" s="74">
        <v>150</v>
      </c>
      <c r="I25" s="74">
        <v>8</v>
      </c>
      <c r="K25" s="404" t="s">
        <v>317</v>
      </c>
      <c r="L25" s="73" t="s">
        <v>237</v>
      </c>
      <c r="M25" s="404" t="s">
        <v>298</v>
      </c>
      <c r="N25" s="404"/>
      <c r="P25" s="60" t="s">
        <v>410</v>
      </c>
      <c r="Q25" s="60" t="s">
        <v>422</v>
      </c>
      <c r="R25" s="60">
        <v>5</v>
      </c>
      <c r="S25" s="60" t="s">
        <v>520</v>
      </c>
      <c r="AC25" s="104">
        <v>1.9</v>
      </c>
      <c r="AD25" s="92"/>
      <c r="AE25" s="92"/>
      <c r="AF25" s="92"/>
      <c r="AG25" s="93"/>
      <c r="AH25" s="108">
        <v>68</v>
      </c>
      <c r="AI25" s="94">
        <v>24</v>
      </c>
      <c r="AK25" s="80">
        <v>4.5</v>
      </c>
      <c r="AL25" s="96">
        <f t="shared" si="2"/>
        <v>49.1</v>
      </c>
      <c r="AM25" s="97">
        <f t="shared" si="2"/>
        <v>24.5</v>
      </c>
      <c r="AN25" s="98">
        <f t="shared" si="2"/>
        <v>6</v>
      </c>
      <c r="BF25" s="60">
        <v>21</v>
      </c>
      <c r="BG25" s="86">
        <f t="shared" si="1"/>
        <v>0.35</v>
      </c>
      <c r="BH25" s="60">
        <v>612</v>
      </c>
      <c r="BI25" s="60">
        <v>86</v>
      </c>
      <c r="BJ25" s="60">
        <v>31</v>
      </c>
      <c r="BK25" s="60">
        <v>14</v>
      </c>
      <c r="BL25" s="60">
        <v>4</v>
      </c>
      <c r="BM25" s="60">
        <v>1</v>
      </c>
      <c r="BN25" s="60"/>
    </row>
    <row r="26" spans="1:82" ht="13.5" x14ac:dyDescent="0.15">
      <c r="A26" s="113">
        <v>22</v>
      </c>
      <c r="B26" s="68">
        <v>151</v>
      </c>
      <c r="C26" s="72">
        <v>2.5</v>
      </c>
      <c r="E26" s="404"/>
      <c r="F26" s="73" t="s">
        <v>227</v>
      </c>
      <c r="G26" s="73" t="s">
        <v>224</v>
      </c>
      <c r="H26" s="74">
        <v>240</v>
      </c>
      <c r="I26" s="405">
        <v>10</v>
      </c>
      <c r="K26" s="404"/>
      <c r="L26" s="404" t="s">
        <v>318</v>
      </c>
      <c r="M26" s="404" t="s">
        <v>298</v>
      </c>
      <c r="N26" s="404"/>
      <c r="P26" s="42" t="s">
        <v>119</v>
      </c>
      <c r="AC26" s="104">
        <v>2</v>
      </c>
      <c r="AD26" s="92"/>
      <c r="AE26" s="92"/>
      <c r="AF26" s="92"/>
      <c r="AG26" s="93"/>
      <c r="AH26" s="108">
        <v>74</v>
      </c>
      <c r="AI26" s="94">
        <v>26</v>
      </c>
      <c r="AK26" s="95">
        <v>4.5999999999999996</v>
      </c>
      <c r="AL26" s="96">
        <f t="shared" si="2"/>
        <v>51.1</v>
      </c>
      <c r="AM26" s="97">
        <f t="shared" si="2"/>
        <v>25.5</v>
      </c>
      <c r="AN26" s="98">
        <f t="shared" si="2"/>
        <v>6.3</v>
      </c>
      <c r="BF26" s="60">
        <v>22</v>
      </c>
      <c r="BG26" s="86">
        <f t="shared" si="1"/>
        <v>0.36666666666666664</v>
      </c>
      <c r="BH26" s="60">
        <v>665</v>
      </c>
      <c r="BI26" s="60">
        <v>93</v>
      </c>
      <c r="BJ26" s="60">
        <v>34</v>
      </c>
      <c r="BK26" s="60">
        <v>15</v>
      </c>
      <c r="BL26" s="60">
        <v>4</v>
      </c>
      <c r="BM26" s="60">
        <v>1</v>
      </c>
      <c r="BN26" s="60"/>
    </row>
    <row r="27" spans="1:82" ht="13.5" x14ac:dyDescent="0.15">
      <c r="A27" s="113">
        <v>23</v>
      </c>
      <c r="B27" s="68">
        <v>155</v>
      </c>
      <c r="C27" s="72">
        <v>2.6</v>
      </c>
      <c r="E27" s="404"/>
      <c r="F27" s="73" t="s">
        <v>228</v>
      </c>
      <c r="G27" s="73" t="s">
        <v>229</v>
      </c>
      <c r="H27" s="74">
        <v>500</v>
      </c>
      <c r="I27" s="405"/>
      <c r="K27" s="404"/>
      <c r="L27" s="404"/>
      <c r="M27" s="404" t="s">
        <v>319</v>
      </c>
      <c r="N27" s="404"/>
      <c r="AC27" s="104">
        <v>2.1</v>
      </c>
      <c r="AD27" s="92"/>
      <c r="AE27" s="92"/>
      <c r="AF27" s="92"/>
      <c r="AG27" s="93"/>
      <c r="AH27" s="108">
        <v>81</v>
      </c>
      <c r="AI27" s="94">
        <v>28</v>
      </c>
      <c r="AK27" s="80">
        <v>4.7</v>
      </c>
      <c r="AL27" s="96">
        <f t="shared" si="2"/>
        <v>53.2</v>
      </c>
      <c r="AM27" s="97">
        <f t="shared" si="2"/>
        <v>26.5</v>
      </c>
      <c r="AN27" s="98">
        <f t="shared" si="2"/>
        <v>6.5</v>
      </c>
      <c r="BF27" s="60">
        <v>23</v>
      </c>
      <c r="BG27" s="86">
        <f t="shared" si="1"/>
        <v>0.38333333333333336</v>
      </c>
      <c r="BH27" s="60">
        <v>720</v>
      </c>
      <c r="BI27" s="60">
        <v>100</v>
      </c>
      <c r="BJ27" s="60">
        <v>36</v>
      </c>
      <c r="BK27" s="60">
        <v>16</v>
      </c>
      <c r="BL27" s="60">
        <v>4</v>
      </c>
      <c r="BM27" s="60">
        <v>2</v>
      </c>
      <c r="BN27" s="60"/>
    </row>
    <row r="28" spans="1:82" ht="13.5" x14ac:dyDescent="0.15">
      <c r="A28" s="113">
        <v>24</v>
      </c>
      <c r="B28" s="68">
        <v>160</v>
      </c>
      <c r="C28" s="72">
        <v>2.7</v>
      </c>
      <c r="E28" s="404"/>
      <c r="F28" s="73" t="s">
        <v>230</v>
      </c>
      <c r="G28" s="73" t="s">
        <v>224</v>
      </c>
      <c r="H28" s="74">
        <v>150</v>
      </c>
      <c r="I28" s="74">
        <v>8</v>
      </c>
      <c r="K28" s="404"/>
      <c r="L28" s="73" t="s">
        <v>245</v>
      </c>
      <c r="M28" s="404" t="s">
        <v>298</v>
      </c>
      <c r="N28" s="404"/>
      <c r="AC28" s="104">
        <v>2.2000000000000002</v>
      </c>
      <c r="AD28" s="92"/>
      <c r="AE28" s="92"/>
      <c r="AF28" s="92"/>
      <c r="AG28" s="93"/>
      <c r="AH28" s="108">
        <v>88</v>
      </c>
      <c r="AI28" s="94">
        <v>31</v>
      </c>
      <c r="AK28" s="95">
        <v>4.8</v>
      </c>
      <c r="AL28" s="96">
        <f t="shared" si="2"/>
        <v>55.3</v>
      </c>
      <c r="AM28" s="97">
        <f t="shared" si="2"/>
        <v>27.6</v>
      </c>
      <c r="AN28" s="98">
        <f t="shared" si="2"/>
        <v>6.8</v>
      </c>
      <c r="BF28" s="60">
        <v>24</v>
      </c>
      <c r="BG28" s="86">
        <f t="shared" si="1"/>
        <v>0.4</v>
      </c>
      <c r="BH28" s="60">
        <v>777</v>
      </c>
      <c r="BI28" s="60">
        <v>108</v>
      </c>
      <c r="BJ28" s="60">
        <v>39</v>
      </c>
      <c r="BK28" s="60">
        <v>17</v>
      </c>
      <c r="BL28" s="60">
        <v>5</v>
      </c>
      <c r="BM28" s="60">
        <v>2</v>
      </c>
      <c r="BN28" s="60"/>
    </row>
    <row r="29" spans="1:82" ht="24" x14ac:dyDescent="0.15">
      <c r="A29" s="113">
        <v>25</v>
      </c>
      <c r="B29" s="68">
        <v>164</v>
      </c>
      <c r="C29" s="72">
        <v>2.7</v>
      </c>
      <c r="E29" s="404">
        <v>4</v>
      </c>
      <c r="F29" s="73" t="s">
        <v>231</v>
      </c>
      <c r="G29" s="73" t="s">
        <v>232</v>
      </c>
      <c r="H29" s="74">
        <v>100</v>
      </c>
      <c r="I29" s="74">
        <v>8</v>
      </c>
      <c r="K29" s="404"/>
      <c r="L29" s="73" t="s">
        <v>320</v>
      </c>
      <c r="M29" s="404" t="s">
        <v>321</v>
      </c>
      <c r="N29" s="404"/>
      <c r="AC29" s="104">
        <v>2.2999999999999998</v>
      </c>
      <c r="AD29" s="92"/>
      <c r="AE29" s="92"/>
      <c r="AF29" s="92"/>
      <c r="AG29" s="93"/>
      <c r="AH29" s="108">
        <v>95</v>
      </c>
      <c r="AI29" s="94">
        <v>33</v>
      </c>
      <c r="AK29" s="80">
        <v>4.9000000000000004</v>
      </c>
      <c r="AL29" s="96">
        <f t="shared" si="2"/>
        <v>57.5</v>
      </c>
      <c r="AM29" s="97">
        <f t="shared" si="2"/>
        <v>28.6</v>
      </c>
      <c r="AN29" s="98">
        <f t="shared" si="2"/>
        <v>7.1</v>
      </c>
      <c r="BF29" s="60">
        <v>25</v>
      </c>
      <c r="BG29" s="86">
        <f t="shared" si="1"/>
        <v>0.41666666666666669</v>
      </c>
      <c r="BH29" s="60">
        <v>836</v>
      </c>
      <c r="BI29" s="60">
        <v>116</v>
      </c>
      <c r="BJ29" s="60">
        <v>42</v>
      </c>
      <c r="BK29" s="60">
        <v>18</v>
      </c>
      <c r="BL29" s="60">
        <v>5</v>
      </c>
      <c r="BM29" s="60">
        <v>2</v>
      </c>
      <c r="BN29" s="60"/>
    </row>
    <row r="30" spans="1:82" ht="13.5" x14ac:dyDescent="0.15">
      <c r="A30" s="113">
        <v>26</v>
      </c>
      <c r="B30" s="68">
        <v>169</v>
      </c>
      <c r="C30" s="72">
        <v>2.8</v>
      </c>
      <c r="E30" s="404"/>
      <c r="F30" s="73" t="s">
        <v>233</v>
      </c>
      <c r="G30" s="73" t="s">
        <v>232</v>
      </c>
      <c r="H30" s="74">
        <v>100</v>
      </c>
      <c r="I30" s="74">
        <v>12</v>
      </c>
      <c r="K30" s="404"/>
      <c r="L30" s="404" t="s">
        <v>322</v>
      </c>
      <c r="M30" s="404" t="s">
        <v>323</v>
      </c>
      <c r="N30" s="404"/>
      <c r="AC30" s="104">
        <v>2.4</v>
      </c>
      <c r="AD30" s="92"/>
      <c r="AE30" s="92"/>
      <c r="AF30" s="92"/>
      <c r="AG30" s="93"/>
      <c r="AH30" s="108">
        <v>103</v>
      </c>
      <c r="AI30" s="94">
        <v>36</v>
      </c>
      <c r="AK30" s="95">
        <v>5</v>
      </c>
      <c r="AL30" s="96">
        <f t="shared" si="2"/>
        <v>59.7</v>
      </c>
      <c r="AM30" s="97">
        <f t="shared" si="2"/>
        <v>29.7</v>
      </c>
      <c r="AN30" s="98">
        <f t="shared" si="2"/>
        <v>7.3</v>
      </c>
      <c r="BF30" s="60">
        <v>26</v>
      </c>
      <c r="BG30" s="86">
        <f t="shared" si="1"/>
        <v>0.43333333333333335</v>
      </c>
      <c r="BH30" s="60">
        <v>897</v>
      </c>
      <c r="BI30" s="60">
        <v>124</v>
      </c>
      <c r="BJ30" s="60">
        <v>45</v>
      </c>
      <c r="BK30" s="60">
        <v>20</v>
      </c>
      <c r="BL30" s="60">
        <v>5</v>
      </c>
      <c r="BM30" s="60">
        <v>2</v>
      </c>
      <c r="BN30" s="60"/>
    </row>
    <row r="31" spans="1:82" ht="14.25" thickBot="1" x14ac:dyDescent="0.2">
      <c r="A31" s="113">
        <v>27</v>
      </c>
      <c r="B31" s="68">
        <v>173</v>
      </c>
      <c r="C31" s="72">
        <v>2.9</v>
      </c>
      <c r="E31" s="404">
        <v>5</v>
      </c>
      <c r="F31" s="73" t="s">
        <v>234</v>
      </c>
      <c r="G31" s="73" t="s">
        <v>217</v>
      </c>
      <c r="H31" s="74">
        <v>300</v>
      </c>
      <c r="I31" s="74">
        <v>8</v>
      </c>
      <c r="K31" s="404"/>
      <c r="L31" s="404"/>
      <c r="M31" s="404" t="s">
        <v>324</v>
      </c>
      <c r="N31" s="404"/>
      <c r="AC31" s="104">
        <v>2.5</v>
      </c>
      <c r="AD31" s="92"/>
      <c r="AE31" s="92"/>
      <c r="AF31" s="92"/>
      <c r="AG31" s="93"/>
      <c r="AH31" s="111">
        <v>110</v>
      </c>
      <c r="AI31" s="94">
        <v>38</v>
      </c>
      <c r="AK31" s="80">
        <v>5.0999999999999996</v>
      </c>
      <c r="AL31" s="96">
        <f t="shared" si="2"/>
        <v>61.9</v>
      </c>
      <c r="AM31" s="97">
        <f t="shared" si="2"/>
        <v>30.8</v>
      </c>
      <c r="AN31" s="98">
        <f t="shared" si="2"/>
        <v>7.6</v>
      </c>
      <c r="BF31" s="60">
        <v>27</v>
      </c>
      <c r="BG31" s="86">
        <f t="shared" si="1"/>
        <v>0.45</v>
      </c>
      <c r="BH31" s="60">
        <v>960</v>
      </c>
      <c r="BI31" s="60">
        <v>132</v>
      </c>
      <c r="BJ31" s="60">
        <v>48</v>
      </c>
      <c r="BK31" s="60">
        <v>21</v>
      </c>
      <c r="BL31" s="60">
        <v>6</v>
      </c>
      <c r="BM31" s="60">
        <v>2</v>
      </c>
      <c r="BN31" s="60"/>
    </row>
    <row r="32" spans="1:82" ht="14.25" thickTop="1" x14ac:dyDescent="0.15">
      <c r="A32" s="113">
        <v>28</v>
      </c>
      <c r="B32" s="68">
        <v>177</v>
      </c>
      <c r="C32" s="72">
        <v>3</v>
      </c>
      <c r="E32" s="404"/>
      <c r="F32" s="73" t="s">
        <v>235</v>
      </c>
      <c r="G32" s="73" t="s">
        <v>217</v>
      </c>
      <c r="H32" s="74">
        <v>400</v>
      </c>
      <c r="I32" s="405">
        <v>16</v>
      </c>
      <c r="K32" s="404"/>
      <c r="L32" s="404"/>
      <c r="M32" s="404" t="s">
        <v>325</v>
      </c>
      <c r="N32" s="404"/>
      <c r="AC32" s="104">
        <v>2.6</v>
      </c>
      <c r="AD32" s="92"/>
      <c r="AE32" s="92"/>
      <c r="AF32" s="92"/>
      <c r="AG32" s="92"/>
      <c r="AH32" s="112">
        <v>118</v>
      </c>
      <c r="AI32" s="114">
        <v>41</v>
      </c>
      <c r="AK32" s="95">
        <v>5.2</v>
      </c>
      <c r="AL32" s="96">
        <f t="shared" si="2"/>
        <v>64.099999999999994</v>
      </c>
      <c r="AM32" s="97">
        <f t="shared" si="2"/>
        <v>32</v>
      </c>
      <c r="AN32" s="98">
        <f t="shared" si="2"/>
        <v>7.9</v>
      </c>
      <c r="BF32" s="60">
        <v>28</v>
      </c>
      <c r="BG32" s="86">
        <f t="shared" si="1"/>
        <v>0.46666666666666667</v>
      </c>
      <c r="BH32" s="60">
        <v>1025</v>
      </c>
      <c r="BI32" s="60">
        <v>141</v>
      </c>
      <c r="BJ32" s="60">
        <v>51</v>
      </c>
      <c r="BK32" s="60">
        <v>22</v>
      </c>
      <c r="BL32" s="60">
        <v>6</v>
      </c>
      <c r="BM32" s="60">
        <v>2</v>
      </c>
      <c r="BN32" s="60"/>
    </row>
    <row r="33" spans="1:66" ht="13.5" x14ac:dyDescent="0.15">
      <c r="A33" s="113">
        <v>29</v>
      </c>
      <c r="B33" s="68">
        <v>181</v>
      </c>
      <c r="C33" s="72">
        <v>3</v>
      </c>
      <c r="E33" s="404"/>
      <c r="F33" s="73" t="s">
        <v>236</v>
      </c>
      <c r="G33" s="73" t="s">
        <v>217</v>
      </c>
      <c r="H33" s="74">
        <v>300</v>
      </c>
      <c r="I33" s="405"/>
      <c r="K33" s="404"/>
      <c r="L33" s="404"/>
      <c r="M33" s="404" t="s">
        <v>326</v>
      </c>
      <c r="N33" s="404"/>
      <c r="AC33" s="104">
        <v>2.7</v>
      </c>
      <c r="AD33" s="92"/>
      <c r="AE33" s="92"/>
      <c r="AF33" s="92"/>
      <c r="AG33" s="92"/>
      <c r="AH33" s="93">
        <v>127</v>
      </c>
      <c r="AI33" s="114">
        <v>44</v>
      </c>
      <c r="AK33" s="80">
        <v>5.3</v>
      </c>
      <c r="AL33" s="96">
        <f t="shared" si="2"/>
        <v>66.400000000000006</v>
      </c>
      <c r="AM33" s="97">
        <f t="shared" si="2"/>
        <v>33.1</v>
      </c>
      <c r="AN33" s="98">
        <f t="shared" si="2"/>
        <v>8.1999999999999993</v>
      </c>
      <c r="BF33" s="60">
        <v>29</v>
      </c>
      <c r="BG33" s="86">
        <f t="shared" si="1"/>
        <v>0.48333333333333334</v>
      </c>
      <c r="BH33" s="60">
        <v>1091</v>
      </c>
      <c r="BI33" s="60">
        <v>150</v>
      </c>
      <c r="BJ33" s="60">
        <v>54</v>
      </c>
      <c r="BK33" s="60">
        <v>24</v>
      </c>
      <c r="BL33" s="60">
        <v>6</v>
      </c>
      <c r="BM33" s="60">
        <v>2</v>
      </c>
      <c r="BN33" s="60"/>
    </row>
    <row r="34" spans="1:66" ht="13.5" x14ac:dyDescent="0.15">
      <c r="A34" s="113">
        <v>30</v>
      </c>
      <c r="B34" s="68">
        <v>186</v>
      </c>
      <c r="C34" s="72">
        <v>3.1</v>
      </c>
      <c r="E34" s="404">
        <v>6</v>
      </c>
      <c r="F34" s="404" t="s">
        <v>237</v>
      </c>
      <c r="G34" s="73" t="s">
        <v>238</v>
      </c>
      <c r="H34" s="74">
        <v>40</v>
      </c>
      <c r="I34" s="74">
        <v>6</v>
      </c>
      <c r="K34" s="404"/>
      <c r="L34" s="404"/>
      <c r="M34" s="404" t="s">
        <v>327</v>
      </c>
      <c r="N34" s="404"/>
      <c r="AC34" s="104">
        <v>2.8</v>
      </c>
      <c r="AD34" s="92"/>
      <c r="AE34" s="92"/>
      <c r="AF34" s="92"/>
      <c r="AG34" s="92"/>
      <c r="AH34" s="93"/>
      <c r="AI34" s="114">
        <v>47</v>
      </c>
      <c r="AK34" s="95">
        <v>5.4</v>
      </c>
      <c r="AL34" s="96">
        <f t="shared" si="2"/>
        <v>68.8</v>
      </c>
      <c r="AM34" s="97">
        <f t="shared" si="2"/>
        <v>34.299999999999997</v>
      </c>
      <c r="AN34" s="98">
        <f t="shared" si="2"/>
        <v>8.4</v>
      </c>
      <c r="BF34" s="60">
        <v>30</v>
      </c>
      <c r="BG34" s="86">
        <f t="shared" si="1"/>
        <v>0.5</v>
      </c>
      <c r="BH34" s="60">
        <v>1160</v>
      </c>
      <c r="BI34" s="60">
        <v>159</v>
      </c>
      <c r="BJ34" s="60">
        <v>57</v>
      </c>
      <c r="BK34" s="60">
        <v>25</v>
      </c>
      <c r="BL34" s="60">
        <v>7</v>
      </c>
      <c r="BM34" s="60">
        <v>2</v>
      </c>
      <c r="BN34" s="60"/>
    </row>
    <row r="35" spans="1:66" ht="13.5" x14ac:dyDescent="0.15">
      <c r="A35" s="113">
        <v>31</v>
      </c>
      <c r="B35" s="68">
        <v>190</v>
      </c>
      <c r="C35" s="72">
        <v>3.2</v>
      </c>
      <c r="E35" s="404"/>
      <c r="F35" s="404"/>
      <c r="G35" s="73" t="s">
        <v>239</v>
      </c>
      <c r="H35" s="74">
        <v>110</v>
      </c>
      <c r="I35" s="74">
        <v>8</v>
      </c>
      <c r="K35" s="404" t="s">
        <v>317</v>
      </c>
      <c r="L35" s="404" t="s">
        <v>328</v>
      </c>
      <c r="M35" s="404" t="s">
        <v>329</v>
      </c>
      <c r="N35" s="404"/>
      <c r="AC35" s="104">
        <v>2.9</v>
      </c>
      <c r="AD35" s="92"/>
      <c r="AE35" s="92"/>
      <c r="AF35" s="92"/>
      <c r="AG35" s="92"/>
      <c r="AH35" s="93"/>
      <c r="AI35" s="114">
        <v>50</v>
      </c>
      <c r="AK35" s="80">
        <v>5.5</v>
      </c>
      <c r="AL35" s="96">
        <f t="shared" si="2"/>
        <v>71.2</v>
      </c>
      <c r="AM35" s="97">
        <f t="shared" si="2"/>
        <v>35.4</v>
      </c>
      <c r="AN35" s="98">
        <f t="shared" si="2"/>
        <v>8.6999999999999993</v>
      </c>
      <c r="BF35" s="60">
        <v>31</v>
      </c>
      <c r="BG35" s="86">
        <f t="shared" si="1"/>
        <v>0.51666666666666672</v>
      </c>
      <c r="BH35" s="60">
        <v>1231</v>
      </c>
      <c r="BI35" s="60">
        <v>169</v>
      </c>
      <c r="BJ35" s="60">
        <v>61</v>
      </c>
      <c r="BK35" s="60">
        <v>26</v>
      </c>
      <c r="BL35" s="60">
        <v>7</v>
      </c>
      <c r="BM35" s="60">
        <v>3</v>
      </c>
      <c r="BN35" s="60"/>
    </row>
    <row r="36" spans="1:66" ht="13.5" x14ac:dyDescent="0.15">
      <c r="A36" s="113">
        <v>32</v>
      </c>
      <c r="B36" s="68">
        <v>194</v>
      </c>
      <c r="C36" s="72">
        <v>3.2</v>
      </c>
      <c r="E36" s="404"/>
      <c r="F36" s="73" t="s">
        <v>240</v>
      </c>
      <c r="G36" s="73" t="s">
        <v>241</v>
      </c>
      <c r="H36" s="74">
        <v>45</v>
      </c>
      <c r="I36" s="74">
        <v>6</v>
      </c>
      <c r="K36" s="404"/>
      <c r="L36" s="404"/>
      <c r="M36" s="404" t="s">
        <v>533</v>
      </c>
      <c r="N36" s="404"/>
      <c r="AC36" s="104">
        <v>3</v>
      </c>
      <c r="AD36" s="92"/>
      <c r="AE36" s="92"/>
      <c r="AF36" s="92"/>
      <c r="AG36" s="92"/>
      <c r="AH36" s="93"/>
      <c r="AI36" s="114">
        <v>53</v>
      </c>
      <c r="AK36" s="95">
        <v>5.6</v>
      </c>
      <c r="AL36" s="96">
        <f t="shared" si="2"/>
        <v>73.599999999999994</v>
      </c>
      <c r="AM36" s="97">
        <f t="shared" si="2"/>
        <v>36.6</v>
      </c>
      <c r="AN36" s="98">
        <f t="shared" si="2"/>
        <v>9</v>
      </c>
      <c r="BF36" s="60">
        <v>32</v>
      </c>
      <c r="BG36" s="86">
        <f t="shared" si="1"/>
        <v>0.53333333333333333</v>
      </c>
      <c r="BH36" s="60">
        <v>1303</v>
      </c>
      <c r="BI36" s="60">
        <v>178</v>
      </c>
      <c r="BJ36" s="60">
        <v>64</v>
      </c>
      <c r="BK36" s="60">
        <v>28</v>
      </c>
      <c r="BL36" s="60">
        <v>7</v>
      </c>
      <c r="BM36" s="60">
        <v>3</v>
      </c>
      <c r="BN36" s="60"/>
    </row>
    <row r="37" spans="1:66" ht="13.5" x14ac:dyDescent="0.15">
      <c r="A37" s="113">
        <v>33</v>
      </c>
      <c r="B37" s="68">
        <v>198</v>
      </c>
      <c r="C37" s="72">
        <v>3.3</v>
      </c>
      <c r="E37" s="404"/>
      <c r="F37" s="73" t="s">
        <v>242</v>
      </c>
      <c r="G37" s="73" t="s">
        <v>241</v>
      </c>
      <c r="H37" s="74">
        <v>55</v>
      </c>
      <c r="I37" s="74">
        <v>6</v>
      </c>
      <c r="K37" s="404"/>
      <c r="L37" s="404"/>
      <c r="M37" s="404" t="s">
        <v>330</v>
      </c>
      <c r="N37" s="404"/>
      <c r="AC37" s="104">
        <v>3.1</v>
      </c>
      <c r="AD37" s="92"/>
      <c r="AE37" s="92"/>
      <c r="AF37" s="92"/>
      <c r="AG37" s="92"/>
      <c r="AH37" s="93"/>
      <c r="AI37" s="114">
        <v>56</v>
      </c>
      <c r="AK37" s="80">
        <v>5.7</v>
      </c>
      <c r="AL37" s="96">
        <f t="shared" si="2"/>
        <v>76</v>
      </c>
      <c r="AM37" s="97">
        <f t="shared" si="2"/>
        <v>37.9</v>
      </c>
      <c r="AN37" s="98">
        <f t="shared" si="2"/>
        <v>9.3000000000000007</v>
      </c>
      <c r="BF37" s="60">
        <v>33</v>
      </c>
      <c r="BG37" s="86">
        <f t="shared" si="1"/>
        <v>0.55000000000000004</v>
      </c>
      <c r="BH37" s="60">
        <v>1378</v>
      </c>
      <c r="BI37" s="60">
        <v>188</v>
      </c>
      <c r="BJ37" s="60">
        <v>68</v>
      </c>
      <c r="BK37" s="60">
        <v>29</v>
      </c>
      <c r="BL37" s="60">
        <v>8</v>
      </c>
      <c r="BM37" s="60">
        <v>3</v>
      </c>
      <c r="BN37" s="60"/>
    </row>
    <row r="38" spans="1:66" ht="13.5" x14ac:dyDescent="0.15">
      <c r="A38" s="113">
        <v>34</v>
      </c>
      <c r="B38" s="68">
        <v>202</v>
      </c>
      <c r="C38" s="72">
        <v>3.4</v>
      </c>
      <c r="E38" s="404"/>
      <c r="F38" s="404" t="s">
        <v>243</v>
      </c>
      <c r="G38" s="73" t="s">
        <v>241</v>
      </c>
      <c r="H38" s="74">
        <v>45</v>
      </c>
      <c r="I38" s="74">
        <v>6</v>
      </c>
      <c r="K38" s="404"/>
      <c r="L38" s="73" t="s">
        <v>331</v>
      </c>
      <c r="M38" s="404" t="s">
        <v>332</v>
      </c>
      <c r="N38" s="404"/>
      <c r="AC38" s="104">
        <v>3.2</v>
      </c>
      <c r="AD38" s="92"/>
      <c r="AE38" s="92"/>
      <c r="AF38" s="92"/>
      <c r="AG38" s="92"/>
      <c r="AH38" s="93"/>
      <c r="AI38" s="114">
        <v>60</v>
      </c>
      <c r="AK38" s="95">
        <v>5.8</v>
      </c>
      <c r="AL38" s="96">
        <f t="shared" ref="AL38:AN69" si="3">ROUND((10.666*$AN$2^-1.85*(AL$4/1000)^-4.87*($AK38/1000)^1.85)*1000,1)</f>
        <v>78.5</v>
      </c>
      <c r="AM38" s="97">
        <f t="shared" si="3"/>
        <v>39.1</v>
      </c>
      <c r="AN38" s="98">
        <f t="shared" si="3"/>
        <v>9.6</v>
      </c>
      <c r="BF38" s="60">
        <v>34</v>
      </c>
      <c r="BG38" s="86">
        <f t="shared" si="1"/>
        <v>0.56666666666666665</v>
      </c>
      <c r="BH38" s="60">
        <v>1454</v>
      </c>
      <c r="BI38" s="60">
        <v>199</v>
      </c>
      <c r="BJ38" s="60">
        <v>71</v>
      </c>
      <c r="BK38" s="60">
        <v>31</v>
      </c>
      <c r="BL38" s="60">
        <v>8</v>
      </c>
      <c r="BM38" s="60">
        <v>3</v>
      </c>
      <c r="BN38" s="60"/>
    </row>
    <row r="39" spans="1:66" ht="13.5" x14ac:dyDescent="0.15">
      <c r="A39" s="113">
        <v>35</v>
      </c>
      <c r="B39" s="68">
        <v>206</v>
      </c>
      <c r="C39" s="115">
        <v>3.4</v>
      </c>
      <c r="E39" s="404"/>
      <c r="F39" s="404"/>
      <c r="G39" s="73" t="s">
        <v>244</v>
      </c>
      <c r="H39" s="74">
        <v>30</v>
      </c>
      <c r="I39" s="74">
        <v>4</v>
      </c>
      <c r="K39" s="404" t="s">
        <v>333</v>
      </c>
      <c r="L39" s="404" t="s">
        <v>248</v>
      </c>
      <c r="M39" s="404" t="s">
        <v>334</v>
      </c>
      <c r="N39" s="404"/>
      <c r="AC39" s="104">
        <v>3.3</v>
      </c>
      <c r="AD39" s="92"/>
      <c r="AE39" s="92"/>
      <c r="AF39" s="92"/>
      <c r="AG39" s="92"/>
      <c r="AH39" s="93"/>
      <c r="AI39" s="114">
        <v>63</v>
      </c>
      <c r="AK39" s="80">
        <v>5.9</v>
      </c>
      <c r="AL39" s="96">
        <f t="shared" si="3"/>
        <v>81</v>
      </c>
      <c r="AM39" s="97">
        <f t="shared" si="3"/>
        <v>40.4</v>
      </c>
      <c r="AN39" s="98">
        <f t="shared" si="3"/>
        <v>9.9</v>
      </c>
      <c r="BF39" s="60">
        <v>35</v>
      </c>
      <c r="BG39" s="86">
        <f t="shared" si="1"/>
        <v>0.58333333333333337</v>
      </c>
      <c r="BH39" s="60">
        <v>1533</v>
      </c>
      <c r="BI39" s="60">
        <v>209</v>
      </c>
      <c r="BJ39" s="60">
        <v>75</v>
      </c>
      <c r="BK39" s="60">
        <v>33</v>
      </c>
      <c r="BL39" s="60">
        <v>9</v>
      </c>
      <c r="BM39" s="60">
        <v>3</v>
      </c>
      <c r="BN39" s="60"/>
    </row>
    <row r="40" spans="1:66" ht="13.5" x14ac:dyDescent="0.15">
      <c r="A40" s="113">
        <v>36</v>
      </c>
      <c r="B40" s="68">
        <v>210</v>
      </c>
      <c r="C40" s="115">
        <v>3.5</v>
      </c>
      <c r="E40" s="404"/>
      <c r="F40" s="73" t="s">
        <v>245</v>
      </c>
      <c r="G40" s="73" t="s">
        <v>241</v>
      </c>
      <c r="H40" s="74">
        <v>10</v>
      </c>
      <c r="I40" s="74">
        <v>8</v>
      </c>
      <c r="K40" s="404"/>
      <c r="L40" s="404"/>
      <c r="M40" s="404" t="s">
        <v>534</v>
      </c>
      <c r="N40" s="404"/>
      <c r="AC40" s="104">
        <v>3.4</v>
      </c>
      <c r="AD40" s="92"/>
      <c r="AE40" s="92"/>
      <c r="AF40" s="92"/>
      <c r="AG40" s="92"/>
      <c r="AH40" s="93"/>
      <c r="AI40" s="114">
        <v>66</v>
      </c>
      <c r="AK40" s="95">
        <v>6</v>
      </c>
      <c r="AL40" s="96">
        <f t="shared" si="3"/>
        <v>83.6</v>
      </c>
      <c r="AM40" s="97">
        <f t="shared" si="3"/>
        <v>41.6</v>
      </c>
      <c r="AN40" s="98">
        <f t="shared" si="3"/>
        <v>10.3</v>
      </c>
      <c r="BF40" s="60">
        <v>36</v>
      </c>
      <c r="BG40" s="86">
        <f t="shared" si="1"/>
        <v>0.6</v>
      </c>
      <c r="BH40" s="60">
        <v>1613</v>
      </c>
      <c r="BI40" s="60">
        <v>220</v>
      </c>
      <c r="BJ40" s="60">
        <v>79</v>
      </c>
      <c r="BK40" s="60">
        <v>34</v>
      </c>
      <c r="BL40" s="60">
        <v>9</v>
      </c>
      <c r="BM40" s="60">
        <v>3</v>
      </c>
      <c r="BN40" s="60"/>
    </row>
    <row r="41" spans="1:66" ht="13.5" x14ac:dyDescent="0.15">
      <c r="A41" s="113">
        <v>37</v>
      </c>
      <c r="B41" s="68">
        <v>214</v>
      </c>
      <c r="C41" s="115">
        <v>3.6</v>
      </c>
      <c r="E41" s="404"/>
      <c r="F41" s="73" t="s">
        <v>246</v>
      </c>
      <c r="G41" s="73" t="s">
        <v>247</v>
      </c>
      <c r="H41" s="74">
        <v>10</v>
      </c>
      <c r="I41" s="74">
        <v>5</v>
      </c>
      <c r="K41" s="404"/>
      <c r="L41" s="404"/>
      <c r="M41" s="404" t="s">
        <v>535</v>
      </c>
      <c r="N41" s="404"/>
      <c r="AC41" s="104">
        <v>3.5</v>
      </c>
      <c r="AD41" s="92"/>
      <c r="AE41" s="92"/>
      <c r="AF41" s="92"/>
      <c r="AG41" s="92"/>
      <c r="AH41" s="93"/>
      <c r="AI41" s="114">
        <v>70</v>
      </c>
      <c r="AK41" s="80">
        <v>6.1</v>
      </c>
      <c r="AL41" s="96">
        <f t="shared" si="3"/>
        <v>86.2</v>
      </c>
      <c r="AM41" s="97">
        <f t="shared" si="3"/>
        <v>42.9</v>
      </c>
      <c r="AN41" s="98">
        <f t="shared" si="3"/>
        <v>10.6</v>
      </c>
      <c r="BF41" s="60">
        <v>37</v>
      </c>
      <c r="BG41" s="86">
        <f t="shared" si="1"/>
        <v>0.6166666666666667</v>
      </c>
      <c r="BH41" s="60">
        <v>1695</v>
      </c>
      <c r="BI41" s="60">
        <v>231</v>
      </c>
      <c r="BJ41" s="60">
        <v>83</v>
      </c>
      <c r="BK41" s="60">
        <v>36</v>
      </c>
      <c r="BL41" s="60">
        <v>10</v>
      </c>
      <c r="BM41" s="60">
        <v>3</v>
      </c>
      <c r="BN41" s="60"/>
    </row>
    <row r="42" spans="1:66" ht="13.5" x14ac:dyDescent="0.15">
      <c r="A42" s="113">
        <v>38</v>
      </c>
      <c r="B42" s="68">
        <v>217</v>
      </c>
      <c r="C42" s="115">
        <v>3.6</v>
      </c>
      <c r="E42" s="404">
        <v>7</v>
      </c>
      <c r="F42" s="404" t="s">
        <v>248</v>
      </c>
      <c r="G42" s="73" t="s">
        <v>249</v>
      </c>
      <c r="H42" s="74" t="s">
        <v>250</v>
      </c>
      <c r="I42" s="405">
        <v>10</v>
      </c>
      <c r="K42" s="404"/>
      <c r="L42" s="404"/>
      <c r="M42" s="404" t="s">
        <v>536</v>
      </c>
      <c r="N42" s="404"/>
      <c r="AC42" s="104">
        <v>3.6</v>
      </c>
      <c r="AD42" s="92"/>
      <c r="AE42" s="92"/>
      <c r="AF42" s="92"/>
      <c r="AG42" s="92"/>
      <c r="AH42" s="93"/>
      <c r="AI42" s="114">
        <v>74</v>
      </c>
      <c r="AK42" s="95">
        <v>6.2</v>
      </c>
      <c r="AL42" s="96">
        <f t="shared" si="3"/>
        <v>88.8</v>
      </c>
      <c r="AM42" s="97">
        <f t="shared" si="3"/>
        <v>44.2</v>
      </c>
      <c r="AN42" s="98">
        <f t="shared" si="3"/>
        <v>10.9</v>
      </c>
      <c r="BF42" s="60">
        <v>38</v>
      </c>
      <c r="BG42" s="86">
        <f t="shared" si="1"/>
        <v>0.6333333333333333</v>
      </c>
      <c r="BH42" s="60">
        <v>1779</v>
      </c>
      <c r="BI42" s="60">
        <v>242</v>
      </c>
      <c r="BJ42" s="60">
        <v>87</v>
      </c>
      <c r="BK42" s="60">
        <v>38</v>
      </c>
      <c r="BL42" s="60">
        <v>10</v>
      </c>
      <c r="BM42" s="60">
        <v>4</v>
      </c>
      <c r="BN42" s="60"/>
    </row>
    <row r="43" spans="1:66" ht="13.5" x14ac:dyDescent="0.15">
      <c r="A43" s="113">
        <v>39</v>
      </c>
      <c r="B43" s="68">
        <v>221</v>
      </c>
      <c r="C43" s="115">
        <v>3.7</v>
      </c>
      <c r="E43" s="404"/>
      <c r="F43" s="404"/>
      <c r="G43" s="73" t="s">
        <v>225</v>
      </c>
      <c r="H43" s="74">
        <v>110</v>
      </c>
      <c r="I43" s="405"/>
      <c r="K43" s="404"/>
      <c r="L43" s="404"/>
      <c r="M43" s="404" t="s">
        <v>537</v>
      </c>
      <c r="N43" s="404"/>
      <c r="AC43" s="104">
        <v>3.7</v>
      </c>
      <c r="AD43" s="92"/>
      <c r="AE43" s="92"/>
      <c r="AF43" s="92"/>
      <c r="AG43" s="92"/>
      <c r="AH43" s="93"/>
      <c r="AI43" s="114">
        <v>77</v>
      </c>
      <c r="AK43" s="80">
        <v>6.3</v>
      </c>
      <c r="AL43" s="96">
        <f t="shared" si="3"/>
        <v>91.5</v>
      </c>
      <c r="AM43" s="97">
        <f t="shared" si="3"/>
        <v>45.6</v>
      </c>
      <c r="AN43" s="98">
        <f t="shared" si="3"/>
        <v>11.2</v>
      </c>
      <c r="BF43" s="60">
        <v>39</v>
      </c>
      <c r="BG43" s="86">
        <f t="shared" si="1"/>
        <v>0.65</v>
      </c>
      <c r="BH43" s="60">
        <v>1865</v>
      </c>
      <c r="BI43" s="60">
        <v>253</v>
      </c>
      <c r="BJ43" s="60">
        <v>91</v>
      </c>
      <c r="BK43" s="60">
        <v>39</v>
      </c>
      <c r="BL43" s="60">
        <v>10</v>
      </c>
      <c r="BM43" s="60">
        <v>4</v>
      </c>
      <c r="BN43" s="60"/>
    </row>
    <row r="44" spans="1:66" ht="14.25" x14ac:dyDescent="0.15">
      <c r="A44" s="113">
        <v>40</v>
      </c>
      <c r="B44" s="68">
        <v>225</v>
      </c>
      <c r="C44" s="115">
        <v>3.8</v>
      </c>
      <c r="E44" s="404"/>
      <c r="F44" s="73" t="s">
        <v>251</v>
      </c>
      <c r="G44" s="73" t="s">
        <v>249</v>
      </c>
      <c r="H44" s="74">
        <v>60</v>
      </c>
      <c r="I44" s="74">
        <v>12</v>
      </c>
      <c r="K44" s="404"/>
      <c r="L44" s="73" t="s">
        <v>335</v>
      </c>
      <c r="M44" s="73" t="s">
        <v>538</v>
      </c>
      <c r="N44" s="73" t="s">
        <v>336</v>
      </c>
      <c r="AC44" s="104">
        <v>3.8</v>
      </c>
      <c r="AD44" s="92"/>
      <c r="AE44" s="92"/>
      <c r="AF44" s="92"/>
      <c r="AG44" s="92"/>
      <c r="AH44" s="93"/>
      <c r="AI44" s="114">
        <v>81</v>
      </c>
      <c r="AK44" s="95">
        <v>6.4</v>
      </c>
      <c r="AL44" s="96">
        <f t="shared" si="3"/>
        <v>94.2</v>
      </c>
      <c r="AM44" s="97">
        <f t="shared" si="3"/>
        <v>46.9</v>
      </c>
      <c r="AN44" s="98">
        <f t="shared" si="3"/>
        <v>11.6</v>
      </c>
      <c r="BF44" s="60">
        <v>40</v>
      </c>
      <c r="BG44" s="86">
        <f t="shared" si="1"/>
        <v>0.66666666666666663</v>
      </c>
      <c r="BH44" s="60">
        <v>1953</v>
      </c>
      <c r="BI44" s="60">
        <v>265</v>
      </c>
      <c r="BJ44" s="60">
        <v>95</v>
      </c>
      <c r="BK44" s="60">
        <v>41</v>
      </c>
      <c r="BL44" s="60">
        <v>11</v>
      </c>
      <c r="BM44" s="60">
        <v>4</v>
      </c>
      <c r="BN44" s="60"/>
    </row>
    <row r="45" spans="1:66" ht="15" thickBot="1" x14ac:dyDescent="0.2">
      <c r="A45" s="113">
        <v>41</v>
      </c>
      <c r="B45" s="68">
        <v>229</v>
      </c>
      <c r="C45" s="115">
        <v>3.8</v>
      </c>
      <c r="E45" s="404"/>
      <c r="F45" s="73" t="s">
        <v>252</v>
      </c>
      <c r="G45" s="73" t="s">
        <v>249</v>
      </c>
      <c r="H45" s="74">
        <v>30</v>
      </c>
      <c r="I45" s="74">
        <v>6</v>
      </c>
      <c r="K45" s="404"/>
      <c r="L45" s="73" t="s">
        <v>252</v>
      </c>
      <c r="M45" s="73" t="s">
        <v>539</v>
      </c>
      <c r="N45" s="73" t="s">
        <v>336</v>
      </c>
      <c r="AC45" s="104">
        <v>3.9</v>
      </c>
      <c r="AD45" s="92"/>
      <c r="AE45" s="92"/>
      <c r="AF45" s="92"/>
      <c r="AG45" s="92"/>
      <c r="AH45" s="93"/>
      <c r="AI45" s="116">
        <v>85</v>
      </c>
      <c r="AK45" s="80">
        <v>6.5</v>
      </c>
      <c r="AL45" s="96">
        <f t="shared" si="3"/>
        <v>96.9</v>
      </c>
      <c r="AM45" s="97">
        <f t="shared" si="3"/>
        <v>48.3</v>
      </c>
      <c r="AN45" s="98">
        <f t="shared" si="3"/>
        <v>11.9</v>
      </c>
      <c r="BF45" s="60">
        <v>41</v>
      </c>
      <c r="BG45" s="86">
        <f t="shared" si="1"/>
        <v>0.68333333333333335</v>
      </c>
      <c r="BH45" s="60"/>
      <c r="BI45" s="60">
        <v>277</v>
      </c>
      <c r="BJ45" s="60">
        <v>99</v>
      </c>
      <c r="BK45" s="60">
        <v>43</v>
      </c>
      <c r="BL45" s="60">
        <v>11</v>
      </c>
      <c r="BM45" s="60">
        <v>4</v>
      </c>
      <c r="BN45" s="60"/>
    </row>
    <row r="46" spans="1:66" ht="15.75" thickTop="1" thickBot="1" x14ac:dyDescent="0.2">
      <c r="A46" s="113">
        <v>42</v>
      </c>
      <c r="B46" s="68">
        <v>232</v>
      </c>
      <c r="C46" s="115">
        <v>3.9</v>
      </c>
      <c r="E46" s="404"/>
      <c r="F46" s="73" t="s">
        <v>253</v>
      </c>
      <c r="G46" s="73" t="s">
        <v>247</v>
      </c>
      <c r="H46" s="74">
        <v>20</v>
      </c>
      <c r="I46" s="74">
        <v>10</v>
      </c>
      <c r="K46" s="404"/>
      <c r="L46" s="404" t="s">
        <v>253</v>
      </c>
      <c r="M46" s="73" t="s">
        <v>540</v>
      </c>
      <c r="N46" s="404" t="s">
        <v>336</v>
      </c>
      <c r="AC46" s="104">
        <v>4</v>
      </c>
      <c r="AD46" s="92"/>
      <c r="AE46" s="92"/>
      <c r="AF46" s="92"/>
      <c r="AG46" s="92"/>
      <c r="AH46" s="92"/>
      <c r="AI46" s="109">
        <v>89</v>
      </c>
      <c r="AK46" s="95">
        <v>6.6</v>
      </c>
      <c r="AL46" s="117">
        <f t="shared" si="3"/>
        <v>99.7</v>
      </c>
      <c r="AM46" s="97">
        <f t="shared" si="3"/>
        <v>49.7</v>
      </c>
      <c r="AN46" s="98">
        <f t="shared" si="3"/>
        <v>12.2</v>
      </c>
      <c r="BF46" s="60">
        <v>42</v>
      </c>
      <c r="BG46" s="86">
        <f t="shared" si="1"/>
        <v>0.7</v>
      </c>
      <c r="BH46" s="60"/>
      <c r="BI46" s="60">
        <v>289</v>
      </c>
      <c r="BJ46" s="60">
        <v>103</v>
      </c>
      <c r="BK46" s="60">
        <v>45</v>
      </c>
      <c r="BL46" s="60">
        <v>12</v>
      </c>
      <c r="BM46" s="60">
        <v>4</v>
      </c>
      <c r="BN46" s="60"/>
    </row>
    <row r="47" spans="1:66" ht="13.5" x14ac:dyDescent="0.15">
      <c r="A47" s="113">
        <v>43</v>
      </c>
      <c r="B47" s="68">
        <v>236</v>
      </c>
      <c r="C47" s="115">
        <v>3.9</v>
      </c>
      <c r="E47" s="404"/>
      <c r="F47" s="73" t="s">
        <v>254</v>
      </c>
      <c r="G47" s="73" t="s">
        <v>247</v>
      </c>
      <c r="H47" s="74">
        <v>25</v>
      </c>
      <c r="I47" s="74">
        <v>6</v>
      </c>
      <c r="K47" s="404"/>
      <c r="L47" s="404"/>
      <c r="M47" s="73" t="s">
        <v>337</v>
      </c>
      <c r="N47" s="404"/>
      <c r="AC47" s="104">
        <v>4.0999999999999996</v>
      </c>
      <c r="AD47" s="92"/>
      <c r="AE47" s="92"/>
      <c r="AF47" s="92"/>
      <c r="AG47" s="92"/>
      <c r="AH47" s="92"/>
      <c r="AI47" s="92">
        <v>93</v>
      </c>
      <c r="AK47" s="80">
        <v>6.7</v>
      </c>
      <c r="AL47" s="118">
        <f t="shared" si="3"/>
        <v>102.5</v>
      </c>
      <c r="AM47" s="96">
        <f t="shared" si="3"/>
        <v>51.1</v>
      </c>
      <c r="AN47" s="98">
        <f t="shared" si="3"/>
        <v>12.6</v>
      </c>
      <c r="BF47" s="60">
        <v>43</v>
      </c>
      <c r="BG47" s="86">
        <f t="shared" si="1"/>
        <v>0.71666666666666667</v>
      </c>
      <c r="BH47" s="60"/>
      <c r="BI47" s="60">
        <v>301</v>
      </c>
      <c r="BJ47" s="60">
        <v>108</v>
      </c>
      <c r="BK47" s="60">
        <v>47</v>
      </c>
      <c r="BL47" s="60">
        <v>12</v>
      </c>
      <c r="BM47" s="60">
        <v>4</v>
      </c>
      <c r="BN47" s="60"/>
    </row>
    <row r="48" spans="1:66" ht="14.25" x14ac:dyDescent="0.15">
      <c r="A48" s="113">
        <v>44</v>
      </c>
      <c r="B48" s="68">
        <v>240</v>
      </c>
      <c r="C48" s="115">
        <v>4</v>
      </c>
      <c r="E48" s="404"/>
      <c r="F48" s="73" t="s">
        <v>255</v>
      </c>
      <c r="G48" s="73" t="s">
        <v>256</v>
      </c>
      <c r="H48" s="74">
        <v>20</v>
      </c>
      <c r="I48" s="74">
        <v>8</v>
      </c>
      <c r="K48" s="404"/>
      <c r="L48" s="73" t="s">
        <v>254</v>
      </c>
      <c r="M48" s="73" t="s">
        <v>541</v>
      </c>
      <c r="N48" s="73" t="s">
        <v>336</v>
      </c>
      <c r="AK48" s="95">
        <v>6.8</v>
      </c>
      <c r="AL48" s="119">
        <f t="shared" si="3"/>
        <v>105.4</v>
      </c>
      <c r="AM48" s="96">
        <f t="shared" si="3"/>
        <v>52.5</v>
      </c>
      <c r="AN48" s="98">
        <f t="shared" si="3"/>
        <v>12.9</v>
      </c>
      <c r="BF48" s="60">
        <v>44</v>
      </c>
      <c r="BG48" s="86">
        <f t="shared" si="1"/>
        <v>0.73333333333333328</v>
      </c>
      <c r="BH48" s="60"/>
      <c r="BI48" s="60">
        <v>314</v>
      </c>
      <c r="BJ48" s="60">
        <v>112</v>
      </c>
      <c r="BK48" s="60">
        <v>48</v>
      </c>
      <c r="BL48" s="60">
        <v>13</v>
      </c>
      <c r="BM48" s="60">
        <v>5</v>
      </c>
      <c r="BN48" s="60"/>
    </row>
    <row r="49" spans="1:66" ht="13.5" x14ac:dyDescent="0.15">
      <c r="A49" s="113">
        <v>45</v>
      </c>
      <c r="B49" s="68">
        <v>243</v>
      </c>
      <c r="C49" s="115">
        <v>4.0999999999999996</v>
      </c>
      <c r="E49" s="404"/>
      <c r="F49" s="73" t="s">
        <v>257</v>
      </c>
      <c r="G49" s="73" t="s">
        <v>249</v>
      </c>
      <c r="H49" s="74">
        <v>40</v>
      </c>
      <c r="I49" s="74">
        <v>8</v>
      </c>
      <c r="K49" s="404"/>
      <c r="L49" s="73" t="s">
        <v>255</v>
      </c>
      <c r="M49" s="404" t="s">
        <v>338</v>
      </c>
      <c r="N49" s="404"/>
      <c r="AK49" s="80">
        <v>6.9</v>
      </c>
      <c r="AL49" s="119">
        <f t="shared" si="3"/>
        <v>108.2</v>
      </c>
      <c r="AM49" s="96">
        <f t="shared" si="3"/>
        <v>53.9</v>
      </c>
      <c r="AN49" s="98">
        <f t="shared" si="3"/>
        <v>13.3</v>
      </c>
      <c r="BF49" s="60">
        <v>45</v>
      </c>
      <c r="BG49" s="86">
        <f t="shared" si="1"/>
        <v>0.75</v>
      </c>
      <c r="BH49" s="60"/>
      <c r="BI49" s="60">
        <v>326</v>
      </c>
      <c r="BJ49" s="60">
        <v>117</v>
      </c>
      <c r="BK49" s="60">
        <v>50</v>
      </c>
      <c r="BL49" s="60">
        <v>13</v>
      </c>
      <c r="BM49" s="60">
        <v>5</v>
      </c>
      <c r="BN49" s="60"/>
    </row>
    <row r="50" spans="1:66" ht="13.5" x14ac:dyDescent="0.15">
      <c r="A50" s="113">
        <v>46</v>
      </c>
      <c r="B50" s="68">
        <v>247</v>
      </c>
      <c r="C50" s="115">
        <v>4.0999999999999996</v>
      </c>
      <c r="E50" s="404"/>
      <c r="F50" s="73" t="s">
        <v>258</v>
      </c>
      <c r="G50" s="73" t="s">
        <v>249</v>
      </c>
      <c r="H50" s="74">
        <v>40</v>
      </c>
      <c r="I50" s="74">
        <v>4</v>
      </c>
      <c r="K50" s="404"/>
      <c r="L50" s="73" t="s">
        <v>257</v>
      </c>
      <c r="M50" s="404" t="s">
        <v>339</v>
      </c>
      <c r="N50" s="404"/>
      <c r="AK50" s="95">
        <v>7</v>
      </c>
      <c r="AL50" s="119">
        <f t="shared" si="3"/>
        <v>111.2</v>
      </c>
      <c r="AM50" s="96">
        <f t="shared" si="3"/>
        <v>55.4</v>
      </c>
      <c r="AN50" s="98">
        <f t="shared" si="3"/>
        <v>13.6</v>
      </c>
      <c r="BF50" s="60">
        <v>46</v>
      </c>
      <c r="BG50" s="86">
        <f t="shared" si="1"/>
        <v>0.76666666666666672</v>
      </c>
      <c r="BH50" s="60"/>
      <c r="BI50" s="60">
        <v>339</v>
      </c>
      <c r="BJ50" s="60">
        <v>121</v>
      </c>
      <c r="BK50" s="60">
        <v>52</v>
      </c>
      <c r="BL50" s="60">
        <v>14</v>
      </c>
      <c r="BM50" s="60">
        <v>5</v>
      </c>
      <c r="BN50" s="60"/>
    </row>
    <row r="51" spans="1:66" ht="13.5" x14ac:dyDescent="0.15">
      <c r="A51" s="113">
        <v>47</v>
      </c>
      <c r="B51" s="68">
        <v>251</v>
      </c>
      <c r="C51" s="115">
        <v>4.2</v>
      </c>
      <c r="E51" s="404">
        <v>8</v>
      </c>
      <c r="F51" s="404" t="s">
        <v>259</v>
      </c>
      <c r="G51" s="73" t="s">
        <v>249</v>
      </c>
      <c r="H51" s="74">
        <v>3</v>
      </c>
      <c r="I51" s="405">
        <v>10</v>
      </c>
      <c r="K51" s="404"/>
      <c r="L51" s="73" t="s">
        <v>258</v>
      </c>
      <c r="M51" s="404" t="s">
        <v>340</v>
      </c>
      <c r="N51" s="404"/>
      <c r="AK51" s="80">
        <v>7.1</v>
      </c>
      <c r="AL51" s="119">
        <f t="shared" si="3"/>
        <v>114.1</v>
      </c>
      <c r="AM51" s="96">
        <f t="shared" si="3"/>
        <v>56.8</v>
      </c>
      <c r="AN51" s="98">
        <f t="shared" si="3"/>
        <v>14</v>
      </c>
      <c r="BF51" s="60">
        <v>47</v>
      </c>
      <c r="BG51" s="86">
        <f t="shared" si="1"/>
        <v>0.78333333333333333</v>
      </c>
      <c r="BH51" s="60"/>
      <c r="BI51" s="60">
        <v>353</v>
      </c>
      <c r="BJ51" s="60">
        <v>126</v>
      </c>
      <c r="BK51" s="60">
        <v>54</v>
      </c>
      <c r="BL51" s="60">
        <v>14</v>
      </c>
      <c r="BM51" s="60">
        <v>5</v>
      </c>
      <c r="BN51" s="60"/>
    </row>
    <row r="52" spans="1:66" ht="14.25" x14ac:dyDescent="0.15">
      <c r="A52" s="113">
        <v>48</v>
      </c>
      <c r="B52" s="68">
        <v>254</v>
      </c>
      <c r="C52" s="115">
        <v>4.2</v>
      </c>
      <c r="E52" s="404"/>
      <c r="F52" s="404"/>
      <c r="G52" s="73" t="s">
        <v>225</v>
      </c>
      <c r="H52" s="74">
        <v>100</v>
      </c>
      <c r="I52" s="405"/>
      <c r="K52" s="404"/>
      <c r="L52" s="73" t="s">
        <v>259</v>
      </c>
      <c r="M52" s="73" t="s">
        <v>542</v>
      </c>
      <c r="N52" s="73" t="s">
        <v>336</v>
      </c>
      <c r="AK52" s="95">
        <v>7.2</v>
      </c>
      <c r="AL52" s="119">
        <f t="shared" si="3"/>
        <v>117.1</v>
      </c>
      <c r="AM52" s="96">
        <f t="shared" si="3"/>
        <v>58.3</v>
      </c>
      <c r="AN52" s="98">
        <f t="shared" si="3"/>
        <v>14.4</v>
      </c>
      <c r="BF52" s="60">
        <v>48</v>
      </c>
      <c r="BG52" s="86">
        <f t="shared" si="1"/>
        <v>0.8</v>
      </c>
      <c r="BH52" s="60"/>
      <c r="BI52" s="60">
        <v>366</v>
      </c>
      <c r="BJ52" s="60">
        <v>131</v>
      </c>
      <c r="BK52" s="60">
        <v>56</v>
      </c>
      <c r="BL52" s="60">
        <v>15</v>
      </c>
      <c r="BM52" s="60">
        <v>5</v>
      </c>
      <c r="BN52" s="60"/>
    </row>
    <row r="53" spans="1:66" ht="24" x14ac:dyDescent="0.15">
      <c r="A53" s="113">
        <v>49</v>
      </c>
      <c r="B53" s="68">
        <v>258</v>
      </c>
      <c r="C53" s="115">
        <v>4.3</v>
      </c>
      <c r="E53" s="404"/>
      <c r="F53" s="404" t="s">
        <v>260</v>
      </c>
      <c r="G53" s="73" t="s">
        <v>249</v>
      </c>
      <c r="H53" s="74">
        <v>10</v>
      </c>
      <c r="I53" s="405">
        <v>10</v>
      </c>
      <c r="K53" s="404"/>
      <c r="L53" s="404" t="s">
        <v>260</v>
      </c>
      <c r="M53" s="404" t="s">
        <v>543</v>
      </c>
      <c r="N53" s="73" t="s">
        <v>341</v>
      </c>
      <c r="AK53" s="80">
        <v>7.3</v>
      </c>
      <c r="AL53" s="119">
        <f t="shared" si="3"/>
        <v>120.1</v>
      </c>
      <c r="AM53" s="96">
        <f t="shared" si="3"/>
        <v>59.8</v>
      </c>
      <c r="AN53" s="98">
        <f t="shared" si="3"/>
        <v>14.7</v>
      </c>
      <c r="BF53" s="60">
        <v>49</v>
      </c>
      <c r="BG53" s="86">
        <f t="shared" si="1"/>
        <v>0.81666666666666665</v>
      </c>
      <c r="BH53" s="60"/>
      <c r="BI53" s="60">
        <v>380</v>
      </c>
      <c r="BJ53" s="60">
        <v>135</v>
      </c>
      <c r="BK53" s="60">
        <v>58</v>
      </c>
      <c r="BL53" s="60">
        <v>16</v>
      </c>
      <c r="BM53" s="60">
        <v>5</v>
      </c>
      <c r="BN53" s="60"/>
    </row>
    <row r="54" spans="1:66" ht="24" x14ac:dyDescent="0.15">
      <c r="A54" s="113">
        <v>50</v>
      </c>
      <c r="B54" s="68">
        <v>261</v>
      </c>
      <c r="C54" s="115">
        <v>4.4000000000000004</v>
      </c>
      <c r="E54" s="404"/>
      <c r="F54" s="404"/>
      <c r="G54" s="73" t="s">
        <v>225</v>
      </c>
      <c r="H54" s="74">
        <v>110</v>
      </c>
      <c r="I54" s="405"/>
      <c r="K54" s="404"/>
      <c r="L54" s="404"/>
      <c r="M54" s="404"/>
      <c r="N54" s="73" t="s">
        <v>342</v>
      </c>
      <c r="AK54" s="95">
        <v>7.4</v>
      </c>
      <c r="AL54" s="119">
        <f t="shared" si="3"/>
        <v>123.2</v>
      </c>
      <c r="AM54" s="96">
        <f t="shared" si="3"/>
        <v>61.4</v>
      </c>
      <c r="AN54" s="98">
        <f t="shared" si="3"/>
        <v>15.1</v>
      </c>
      <c r="BF54" s="60">
        <v>50</v>
      </c>
      <c r="BG54" s="86">
        <f t="shared" si="1"/>
        <v>0.83333333333333337</v>
      </c>
      <c r="BH54" s="60"/>
      <c r="BI54" s="60">
        <v>394</v>
      </c>
      <c r="BJ54" s="60">
        <v>140</v>
      </c>
      <c r="BK54" s="60">
        <v>61</v>
      </c>
      <c r="BL54" s="60">
        <v>16</v>
      </c>
      <c r="BM54" s="60">
        <v>6</v>
      </c>
      <c r="BN54" s="60"/>
    </row>
    <row r="55" spans="1:66" ht="13.5" x14ac:dyDescent="0.15">
      <c r="A55" s="68">
        <v>51</v>
      </c>
      <c r="B55" s="68">
        <v>265</v>
      </c>
      <c r="C55" s="115">
        <v>4.4000000000000004</v>
      </c>
      <c r="E55" s="404"/>
      <c r="F55" s="73" t="s">
        <v>261</v>
      </c>
      <c r="G55" s="73" t="s">
        <v>225</v>
      </c>
      <c r="H55" s="74">
        <v>110</v>
      </c>
      <c r="I55" s="74">
        <v>10</v>
      </c>
      <c r="K55" s="404"/>
      <c r="L55" s="73" t="s">
        <v>343</v>
      </c>
      <c r="M55" s="404" t="s">
        <v>544</v>
      </c>
      <c r="N55" s="404"/>
      <c r="AK55" s="80">
        <v>7.5</v>
      </c>
      <c r="AL55" s="119">
        <f t="shared" si="3"/>
        <v>126.3</v>
      </c>
      <c r="AM55" s="96">
        <f t="shared" si="3"/>
        <v>62.9</v>
      </c>
      <c r="AN55" s="98">
        <f t="shared" si="3"/>
        <v>15.5</v>
      </c>
      <c r="BF55" s="60">
        <v>51</v>
      </c>
      <c r="BG55" s="86">
        <f t="shared" si="1"/>
        <v>0.85</v>
      </c>
      <c r="BH55" s="60"/>
      <c r="BI55" s="60">
        <v>408</v>
      </c>
      <c r="BJ55" s="60">
        <v>145</v>
      </c>
      <c r="BK55" s="60">
        <v>63</v>
      </c>
      <c r="BL55" s="60">
        <v>17</v>
      </c>
      <c r="BM55" s="60">
        <v>6</v>
      </c>
      <c r="BN55" s="60"/>
    </row>
    <row r="56" spans="1:66" ht="13.5" x14ac:dyDescent="0.15">
      <c r="A56" s="113">
        <v>52</v>
      </c>
      <c r="B56" s="68">
        <v>268</v>
      </c>
      <c r="C56" s="115">
        <v>4.5</v>
      </c>
      <c r="E56" s="404"/>
      <c r="F56" s="73" t="s">
        <v>262</v>
      </c>
      <c r="G56" s="73" t="s">
        <v>225</v>
      </c>
      <c r="H56" s="74">
        <v>110</v>
      </c>
      <c r="I56" s="74">
        <v>8</v>
      </c>
      <c r="K56" s="404"/>
      <c r="L56" s="73" t="s">
        <v>344</v>
      </c>
      <c r="M56" s="404" t="s">
        <v>545</v>
      </c>
      <c r="N56" s="404"/>
      <c r="AK56" s="95">
        <v>7.6</v>
      </c>
      <c r="AL56" s="119">
        <f t="shared" si="3"/>
        <v>129.4</v>
      </c>
      <c r="AM56" s="96">
        <f t="shared" si="3"/>
        <v>64.5</v>
      </c>
      <c r="AN56" s="98">
        <f t="shared" si="3"/>
        <v>15.9</v>
      </c>
      <c r="BF56" s="60">
        <v>52</v>
      </c>
      <c r="BG56" s="86">
        <f t="shared" si="1"/>
        <v>0.8666666666666667</v>
      </c>
      <c r="BH56" s="60"/>
      <c r="BI56" s="60">
        <v>422</v>
      </c>
      <c r="BJ56" s="60">
        <v>150</v>
      </c>
      <c r="BK56" s="60">
        <v>65</v>
      </c>
      <c r="BL56" s="60">
        <v>17</v>
      </c>
      <c r="BM56" s="60">
        <v>6</v>
      </c>
      <c r="BN56" s="60"/>
    </row>
    <row r="57" spans="1:66" ht="13.5" x14ac:dyDescent="0.15">
      <c r="A57" s="113">
        <v>53</v>
      </c>
      <c r="B57" s="68">
        <v>272</v>
      </c>
      <c r="C57" s="115">
        <v>4.5</v>
      </c>
      <c r="E57" s="404">
        <v>9</v>
      </c>
      <c r="F57" s="73" t="s">
        <v>263</v>
      </c>
      <c r="G57" s="73" t="s">
        <v>225</v>
      </c>
      <c r="H57" s="74">
        <v>100</v>
      </c>
      <c r="I57" s="405">
        <v>8</v>
      </c>
      <c r="K57" s="404"/>
      <c r="L57" s="404" t="s">
        <v>345</v>
      </c>
      <c r="M57" s="404" t="s">
        <v>346</v>
      </c>
      <c r="N57" s="404"/>
      <c r="AK57" s="80">
        <v>7.7</v>
      </c>
      <c r="AL57" s="119">
        <f t="shared" si="3"/>
        <v>132.6</v>
      </c>
      <c r="AM57" s="96">
        <f t="shared" si="3"/>
        <v>66.099999999999994</v>
      </c>
      <c r="AN57" s="98">
        <f t="shared" si="3"/>
        <v>16.3</v>
      </c>
      <c r="BF57" s="60">
        <v>53</v>
      </c>
      <c r="BG57" s="86">
        <f t="shared" si="1"/>
        <v>0.8833333333333333</v>
      </c>
      <c r="BH57" s="60"/>
      <c r="BI57" s="60">
        <v>437</v>
      </c>
      <c r="BJ57" s="60">
        <v>156</v>
      </c>
      <c r="BK57" s="60">
        <v>67</v>
      </c>
      <c r="BL57" s="60">
        <v>18</v>
      </c>
      <c r="BM57" s="60">
        <v>6</v>
      </c>
      <c r="BN57" s="60"/>
    </row>
    <row r="58" spans="1:66" ht="13.5" x14ac:dyDescent="0.15">
      <c r="A58" s="113">
        <v>54</v>
      </c>
      <c r="B58" s="68">
        <v>275</v>
      </c>
      <c r="C58" s="115">
        <v>4.5999999999999996</v>
      </c>
      <c r="E58" s="404"/>
      <c r="F58" s="73" t="s">
        <v>264</v>
      </c>
      <c r="G58" s="73" t="s">
        <v>225</v>
      </c>
      <c r="H58" s="74">
        <v>120</v>
      </c>
      <c r="I58" s="405"/>
      <c r="K58" s="404"/>
      <c r="L58" s="404"/>
      <c r="M58" s="404" t="s">
        <v>347</v>
      </c>
      <c r="N58" s="404"/>
      <c r="AK58" s="95">
        <v>7.8</v>
      </c>
      <c r="AL58" s="119">
        <f t="shared" si="3"/>
        <v>135.80000000000001</v>
      </c>
      <c r="AM58" s="96">
        <f t="shared" si="3"/>
        <v>67.599999999999994</v>
      </c>
      <c r="AN58" s="98">
        <f t="shared" si="3"/>
        <v>16.7</v>
      </c>
      <c r="BF58" s="60">
        <v>54</v>
      </c>
      <c r="BG58" s="86">
        <f t="shared" si="1"/>
        <v>0.9</v>
      </c>
      <c r="BH58" s="60"/>
      <c r="BI58" s="60">
        <v>452</v>
      </c>
      <c r="BJ58" s="60">
        <v>161</v>
      </c>
      <c r="BK58" s="60">
        <v>69</v>
      </c>
      <c r="BL58" s="60">
        <v>18</v>
      </c>
      <c r="BM58" s="60">
        <v>6</v>
      </c>
      <c r="BN58" s="60"/>
    </row>
    <row r="59" spans="1:66" ht="13.5" x14ac:dyDescent="0.15">
      <c r="A59" s="113">
        <v>55</v>
      </c>
      <c r="B59" s="68">
        <v>278</v>
      </c>
      <c r="C59" s="115">
        <v>4.5999999999999996</v>
      </c>
      <c r="E59" s="404">
        <v>10</v>
      </c>
      <c r="F59" s="73" t="s">
        <v>265</v>
      </c>
      <c r="G59" s="73" t="s">
        <v>247</v>
      </c>
      <c r="H59" s="74">
        <v>10</v>
      </c>
      <c r="I59" s="74">
        <v>10</v>
      </c>
      <c r="K59" s="404"/>
      <c r="L59" s="73" t="s">
        <v>262</v>
      </c>
      <c r="M59" s="404" t="s">
        <v>546</v>
      </c>
      <c r="N59" s="404"/>
      <c r="AK59" s="80">
        <v>7.9</v>
      </c>
      <c r="AL59" s="119">
        <f t="shared" si="3"/>
        <v>139</v>
      </c>
      <c r="AM59" s="96">
        <f t="shared" si="3"/>
        <v>69.3</v>
      </c>
      <c r="AN59" s="98">
        <f t="shared" si="3"/>
        <v>17.100000000000001</v>
      </c>
      <c r="BF59" s="60">
        <v>55</v>
      </c>
      <c r="BG59" s="86">
        <f t="shared" si="1"/>
        <v>0.91666666666666663</v>
      </c>
      <c r="BH59" s="60"/>
      <c r="BI59" s="60">
        <v>467</v>
      </c>
      <c r="BJ59" s="60">
        <v>166</v>
      </c>
      <c r="BK59" s="60">
        <v>72</v>
      </c>
      <c r="BL59" s="60">
        <v>19</v>
      </c>
      <c r="BM59" s="60">
        <v>7</v>
      </c>
      <c r="BN59" s="60"/>
    </row>
    <row r="60" spans="1:66" ht="13.5" x14ac:dyDescent="0.15">
      <c r="A60" s="113">
        <v>56</v>
      </c>
      <c r="B60" s="68">
        <v>282</v>
      </c>
      <c r="C60" s="115">
        <v>4.7</v>
      </c>
      <c r="E60" s="404"/>
      <c r="F60" s="73" t="s">
        <v>266</v>
      </c>
      <c r="G60" s="73" t="s">
        <v>249</v>
      </c>
      <c r="H60" s="74">
        <v>10</v>
      </c>
      <c r="I60" s="74">
        <v>12</v>
      </c>
      <c r="K60" s="404"/>
      <c r="L60" s="73" t="s">
        <v>348</v>
      </c>
      <c r="M60" s="404" t="s">
        <v>349</v>
      </c>
      <c r="N60" s="404"/>
      <c r="AK60" s="95">
        <v>8.0000000000000107</v>
      </c>
      <c r="AL60" s="119">
        <f t="shared" si="3"/>
        <v>142.30000000000001</v>
      </c>
      <c r="AM60" s="96">
        <f t="shared" si="3"/>
        <v>70.900000000000006</v>
      </c>
      <c r="AN60" s="98">
        <f t="shared" si="3"/>
        <v>17.5</v>
      </c>
      <c r="BF60" s="60">
        <v>56</v>
      </c>
      <c r="BG60" s="86">
        <f t="shared" si="1"/>
        <v>0.93333333333333335</v>
      </c>
      <c r="BH60" s="60"/>
      <c r="BI60" s="60">
        <v>482</v>
      </c>
      <c r="BJ60" s="60">
        <v>171</v>
      </c>
      <c r="BK60" s="60">
        <v>74</v>
      </c>
      <c r="BL60" s="60">
        <v>20</v>
      </c>
      <c r="BM60" s="60">
        <v>7</v>
      </c>
      <c r="BN60" s="60"/>
    </row>
    <row r="61" spans="1:66" ht="13.5" x14ac:dyDescent="0.15">
      <c r="A61" s="113">
        <v>57</v>
      </c>
      <c r="B61" s="68">
        <v>285</v>
      </c>
      <c r="C61" s="115">
        <v>4.8</v>
      </c>
      <c r="E61" s="404"/>
      <c r="F61" s="73" t="s">
        <v>267</v>
      </c>
      <c r="G61" s="73" t="s">
        <v>249</v>
      </c>
      <c r="H61" s="74">
        <v>10</v>
      </c>
      <c r="I61" s="405">
        <v>5</v>
      </c>
      <c r="K61" s="404" t="s">
        <v>350</v>
      </c>
      <c r="L61" s="73" t="s">
        <v>263</v>
      </c>
      <c r="M61" s="404" t="s">
        <v>351</v>
      </c>
      <c r="N61" s="404"/>
      <c r="AK61" s="80">
        <v>8.1</v>
      </c>
      <c r="AL61" s="119">
        <f t="shared" si="3"/>
        <v>145.6</v>
      </c>
      <c r="AM61" s="96">
        <f t="shared" si="3"/>
        <v>72.5</v>
      </c>
      <c r="AN61" s="98">
        <f t="shared" si="3"/>
        <v>17.899999999999999</v>
      </c>
      <c r="BF61" s="60">
        <v>57</v>
      </c>
      <c r="BG61" s="86">
        <f t="shared" si="1"/>
        <v>0.95</v>
      </c>
      <c r="BH61" s="60"/>
      <c r="BI61" s="60">
        <v>498</v>
      </c>
      <c r="BJ61" s="60">
        <v>177</v>
      </c>
      <c r="BK61" s="60">
        <v>76</v>
      </c>
      <c r="BL61" s="60">
        <v>20</v>
      </c>
      <c r="BM61" s="60">
        <v>7</v>
      </c>
      <c r="BN61" s="60"/>
    </row>
    <row r="62" spans="1:66" ht="13.5" x14ac:dyDescent="0.15">
      <c r="A62" s="113">
        <v>58</v>
      </c>
      <c r="B62" s="68">
        <v>289</v>
      </c>
      <c r="C62" s="115">
        <v>4.8</v>
      </c>
      <c r="E62" s="404"/>
      <c r="F62" s="404" t="s">
        <v>268</v>
      </c>
      <c r="G62" s="73" t="s">
        <v>269</v>
      </c>
      <c r="H62" s="74">
        <v>10</v>
      </c>
      <c r="I62" s="405"/>
      <c r="K62" s="404"/>
      <c r="L62" s="73" t="s">
        <v>264</v>
      </c>
      <c r="M62" s="404" t="s">
        <v>352</v>
      </c>
      <c r="N62" s="404"/>
      <c r="AK62" s="95">
        <v>8.1999999999999993</v>
      </c>
      <c r="AL62" s="119">
        <f t="shared" si="3"/>
        <v>149</v>
      </c>
      <c r="AM62" s="96">
        <f t="shared" si="3"/>
        <v>74.2</v>
      </c>
      <c r="AN62" s="98">
        <f t="shared" si="3"/>
        <v>18.3</v>
      </c>
      <c r="BF62" s="60">
        <v>58</v>
      </c>
      <c r="BG62" s="86">
        <f t="shared" si="1"/>
        <v>0.96666666666666667</v>
      </c>
      <c r="BH62" s="60"/>
      <c r="BI62" s="60">
        <v>514</v>
      </c>
      <c r="BJ62" s="60">
        <v>182</v>
      </c>
      <c r="BK62" s="60">
        <v>79</v>
      </c>
      <c r="BL62" s="60">
        <v>21</v>
      </c>
      <c r="BM62" s="60">
        <v>7</v>
      </c>
      <c r="BN62" s="60"/>
    </row>
    <row r="63" spans="1:66" ht="13.5" x14ac:dyDescent="0.15">
      <c r="A63" s="113">
        <v>59</v>
      </c>
      <c r="B63" s="68">
        <v>292</v>
      </c>
      <c r="C63" s="115">
        <v>4.9000000000000004</v>
      </c>
      <c r="E63" s="404"/>
      <c r="F63" s="404"/>
      <c r="G63" s="73" t="s">
        <v>270</v>
      </c>
      <c r="H63" s="74">
        <v>100</v>
      </c>
      <c r="I63" s="74">
        <v>10</v>
      </c>
      <c r="K63" s="404" t="s">
        <v>353</v>
      </c>
      <c r="L63" s="73" t="s">
        <v>354</v>
      </c>
      <c r="M63" s="404" t="s">
        <v>355</v>
      </c>
      <c r="N63" s="404"/>
      <c r="AK63" s="80">
        <v>8.3000000000000096</v>
      </c>
      <c r="AL63" s="119">
        <f t="shared" si="3"/>
        <v>152.30000000000001</v>
      </c>
      <c r="AM63" s="96">
        <f t="shared" si="3"/>
        <v>75.900000000000006</v>
      </c>
      <c r="AN63" s="98">
        <f t="shared" si="3"/>
        <v>18.7</v>
      </c>
      <c r="BF63" s="60">
        <v>59</v>
      </c>
      <c r="BG63" s="86">
        <f t="shared" si="1"/>
        <v>0.98333333333333328</v>
      </c>
      <c r="BH63" s="60"/>
      <c r="BI63" s="60">
        <v>530</v>
      </c>
      <c r="BJ63" s="60">
        <v>188</v>
      </c>
      <c r="BK63" s="60">
        <v>81</v>
      </c>
      <c r="BL63" s="60">
        <v>21</v>
      </c>
      <c r="BM63" s="60">
        <v>8</v>
      </c>
      <c r="BN63" s="60"/>
    </row>
    <row r="64" spans="1:66" ht="24" x14ac:dyDescent="0.15">
      <c r="A64" s="113">
        <v>60</v>
      </c>
      <c r="B64" s="68">
        <v>295</v>
      </c>
      <c r="C64" s="115">
        <v>4.9000000000000004</v>
      </c>
      <c r="E64" s="404"/>
      <c r="F64" s="73" t="s">
        <v>271</v>
      </c>
      <c r="G64" s="73" t="s">
        <v>249</v>
      </c>
      <c r="H64" s="74">
        <v>30</v>
      </c>
      <c r="I64" s="74">
        <v>10</v>
      </c>
      <c r="K64" s="404"/>
      <c r="L64" s="73" t="s">
        <v>356</v>
      </c>
      <c r="M64" s="404" t="s">
        <v>357</v>
      </c>
      <c r="N64" s="404"/>
      <c r="AK64" s="95">
        <v>8.4000000000000092</v>
      </c>
      <c r="AL64" s="119">
        <f t="shared" si="3"/>
        <v>155.80000000000001</v>
      </c>
      <c r="AM64" s="96">
        <f t="shared" si="3"/>
        <v>77.599999999999994</v>
      </c>
      <c r="AN64" s="98">
        <f t="shared" si="3"/>
        <v>19.100000000000001</v>
      </c>
      <c r="BF64" s="60">
        <v>60</v>
      </c>
      <c r="BG64" s="86">
        <f t="shared" si="1"/>
        <v>1</v>
      </c>
      <c r="BH64" s="60"/>
      <c r="BI64" s="60">
        <v>546</v>
      </c>
      <c r="BJ64" s="60">
        <v>194</v>
      </c>
      <c r="BK64" s="60">
        <v>83</v>
      </c>
      <c r="BL64" s="60">
        <v>22</v>
      </c>
      <c r="BM64" s="60">
        <v>8</v>
      </c>
      <c r="BN64" s="60"/>
    </row>
    <row r="65" spans="1:66" ht="24" x14ac:dyDescent="0.15">
      <c r="A65" s="113">
        <v>61</v>
      </c>
      <c r="B65" s="68">
        <v>298</v>
      </c>
      <c r="C65" s="115">
        <v>5</v>
      </c>
      <c r="E65" s="404"/>
      <c r="F65" s="404" t="s">
        <v>272</v>
      </c>
      <c r="G65" s="73" t="s">
        <v>273</v>
      </c>
      <c r="H65" s="74">
        <v>200</v>
      </c>
      <c r="I65" s="405">
        <v>10</v>
      </c>
      <c r="K65" s="404"/>
      <c r="L65" s="73" t="s">
        <v>358</v>
      </c>
      <c r="M65" s="404" t="s">
        <v>321</v>
      </c>
      <c r="N65" s="404"/>
      <c r="AK65" s="80">
        <v>8.5000000000000107</v>
      </c>
      <c r="AL65" s="119">
        <f t="shared" si="3"/>
        <v>159.19999999999999</v>
      </c>
      <c r="AM65" s="96">
        <f t="shared" si="3"/>
        <v>79.3</v>
      </c>
      <c r="AN65" s="98">
        <f t="shared" si="3"/>
        <v>19.5</v>
      </c>
      <c r="BF65" s="60">
        <v>61</v>
      </c>
      <c r="BG65" s="86">
        <f t="shared" si="1"/>
        <v>1.0166666666666666</v>
      </c>
      <c r="BH65" s="60"/>
      <c r="BI65" s="60">
        <v>563</v>
      </c>
      <c r="BJ65" s="60">
        <v>200</v>
      </c>
      <c r="BK65" s="60">
        <v>86</v>
      </c>
      <c r="BL65" s="60">
        <v>23</v>
      </c>
      <c r="BM65" s="60">
        <v>8</v>
      </c>
      <c r="BN65" s="60"/>
    </row>
    <row r="66" spans="1:66" ht="13.5" x14ac:dyDescent="0.15">
      <c r="A66" s="113">
        <v>62</v>
      </c>
      <c r="B66" s="68">
        <v>302</v>
      </c>
      <c r="C66" s="115">
        <v>5</v>
      </c>
      <c r="E66" s="404"/>
      <c r="F66" s="404"/>
      <c r="G66" s="73" t="s">
        <v>225</v>
      </c>
      <c r="H66" s="74">
        <v>150</v>
      </c>
      <c r="I66" s="405"/>
      <c r="K66" s="404"/>
      <c r="L66" s="404" t="s">
        <v>359</v>
      </c>
      <c r="M66" s="404" t="s">
        <v>360</v>
      </c>
      <c r="N66" s="404"/>
      <c r="AK66" s="95">
        <v>8.6</v>
      </c>
      <c r="AL66" s="119">
        <f t="shared" si="3"/>
        <v>162.69999999999999</v>
      </c>
      <c r="AM66" s="96">
        <f t="shared" si="3"/>
        <v>81</v>
      </c>
      <c r="AN66" s="98">
        <f t="shared" si="3"/>
        <v>20</v>
      </c>
      <c r="BF66" s="60">
        <v>62</v>
      </c>
      <c r="BG66" s="86">
        <f t="shared" si="1"/>
        <v>1.0333333333333334</v>
      </c>
      <c r="BH66" s="60"/>
      <c r="BI66" s="60">
        <v>579</v>
      </c>
      <c r="BJ66" s="60">
        <v>205</v>
      </c>
      <c r="BK66" s="60">
        <v>88</v>
      </c>
      <c r="BL66" s="60">
        <v>23</v>
      </c>
      <c r="BM66" s="60">
        <v>8</v>
      </c>
      <c r="BN66" s="60"/>
    </row>
    <row r="67" spans="1:66" ht="13.5" x14ac:dyDescent="0.15">
      <c r="A67" s="113">
        <v>63</v>
      </c>
      <c r="B67" s="68">
        <v>305</v>
      </c>
      <c r="C67" s="115">
        <v>5.0999999999999996</v>
      </c>
      <c r="E67" s="73">
        <v>11</v>
      </c>
      <c r="F67" s="73" t="s">
        <v>274</v>
      </c>
      <c r="G67" s="73" t="s">
        <v>247</v>
      </c>
      <c r="H67" s="74">
        <v>50</v>
      </c>
      <c r="I67" s="74">
        <v>10</v>
      </c>
      <c r="K67" s="404"/>
      <c r="L67" s="404"/>
      <c r="M67" s="405" t="s">
        <v>361</v>
      </c>
      <c r="N67" s="405"/>
      <c r="AK67" s="80">
        <v>8.7000000000000099</v>
      </c>
      <c r="AL67" s="119">
        <f t="shared" si="3"/>
        <v>166.2</v>
      </c>
      <c r="AM67" s="96">
        <f t="shared" si="3"/>
        <v>82.8</v>
      </c>
      <c r="AN67" s="98">
        <f t="shared" si="3"/>
        <v>20.399999999999999</v>
      </c>
      <c r="BF67" s="60">
        <v>63</v>
      </c>
      <c r="BG67" s="86">
        <f t="shared" si="1"/>
        <v>1.05</v>
      </c>
      <c r="BH67" s="60"/>
      <c r="BI67" s="60">
        <v>596</v>
      </c>
      <c r="BJ67" s="60">
        <v>211</v>
      </c>
      <c r="BK67" s="60">
        <v>91</v>
      </c>
      <c r="BL67" s="60">
        <v>24</v>
      </c>
      <c r="BM67" s="60">
        <v>8</v>
      </c>
      <c r="BN67" s="60"/>
    </row>
    <row r="68" spans="1:66" ht="14.25" thickBot="1" x14ac:dyDescent="0.2">
      <c r="A68" s="113">
        <v>64</v>
      </c>
      <c r="B68" s="68">
        <v>308</v>
      </c>
      <c r="C68" s="115">
        <v>5.0999999999999996</v>
      </c>
      <c r="E68" s="404">
        <v>12</v>
      </c>
      <c r="F68" s="404" t="s">
        <v>275</v>
      </c>
      <c r="G68" s="73" t="s">
        <v>276</v>
      </c>
      <c r="H68" s="74">
        <v>25</v>
      </c>
      <c r="I68" s="405">
        <v>8</v>
      </c>
      <c r="K68" s="404"/>
      <c r="L68" s="73" t="s">
        <v>272</v>
      </c>
      <c r="M68" s="404" t="s">
        <v>362</v>
      </c>
      <c r="N68" s="404"/>
      <c r="AK68" s="95">
        <v>8.8000000000000096</v>
      </c>
      <c r="AL68" s="119">
        <f t="shared" si="3"/>
        <v>169.8</v>
      </c>
      <c r="AM68" s="117">
        <f t="shared" si="3"/>
        <v>84.6</v>
      </c>
      <c r="AN68" s="98">
        <f t="shared" si="3"/>
        <v>20.8</v>
      </c>
      <c r="BF68" s="60">
        <v>64</v>
      </c>
      <c r="BG68" s="86">
        <f t="shared" si="1"/>
        <v>1.0666666666666667</v>
      </c>
      <c r="BH68" s="60"/>
      <c r="BI68" s="60">
        <v>613</v>
      </c>
      <c r="BJ68" s="60">
        <v>217</v>
      </c>
      <c r="BK68" s="60">
        <v>93</v>
      </c>
      <c r="BL68" s="60">
        <v>25</v>
      </c>
      <c r="BM68" s="60">
        <v>9</v>
      </c>
      <c r="BN68" s="60"/>
    </row>
    <row r="69" spans="1:66" ht="13.5" x14ac:dyDescent="0.15">
      <c r="A69" s="113">
        <v>65</v>
      </c>
      <c r="B69" s="68">
        <v>311</v>
      </c>
      <c r="C69" s="115">
        <v>5.2</v>
      </c>
      <c r="E69" s="404"/>
      <c r="F69" s="404"/>
      <c r="G69" s="73" t="s">
        <v>225</v>
      </c>
      <c r="H69" s="74">
        <v>100</v>
      </c>
      <c r="I69" s="405"/>
      <c r="K69" s="404"/>
      <c r="L69" s="73" t="s">
        <v>275</v>
      </c>
      <c r="M69" s="404" t="s">
        <v>363</v>
      </c>
      <c r="N69" s="404"/>
      <c r="AK69" s="80">
        <v>8.9000000000000092</v>
      </c>
      <c r="AL69" s="97">
        <f t="shared" si="3"/>
        <v>173.3</v>
      </c>
      <c r="AM69" s="118">
        <f t="shared" si="3"/>
        <v>86.3</v>
      </c>
      <c r="AN69" s="120">
        <f t="shared" si="3"/>
        <v>21.3</v>
      </c>
      <c r="BF69" s="60">
        <v>65</v>
      </c>
      <c r="BG69" s="86">
        <f t="shared" ref="BG69:BG132" si="4">BF69/60</f>
        <v>1.0833333333333333</v>
      </c>
      <c r="BH69" s="60"/>
      <c r="BI69" s="60">
        <v>631</v>
      </c>
      <c r="BJ69" s="60">
        <v>223</v>
      </c>
      <c r="BK69" s="60">
        <v>96</v>
      </c>
      <c r="BL69" s="60">
        <v>25</v>
      </c>
      <c r="BM69" s="60">
        <v>9</v>
      </c>
      <c r="BN69" s="60"/>
    </row>
    <row r="70" spans="1:66" ht="14.25" x14ac:dyDescent="0.15">
      <c r="A70" s="113">
        <v>66</v>
      </c>
      <c r="B70" s="68">
        <v>315</v>
      </c>
      <c r="C70" s="115">
        <v>5.2</v>
      </c>
      <c r="E70" s="404"/>
      <c r="F70" s="404" t="s">
        <v>277</v>
      </c>
      <c r="G70" s="73" t="s">
        <v>249</v>
      </c>
      <c r="H70" s="74">
        <v>10</v>
      </c>
      <c r="I70" s="405">
        <v>8</v>
      </c>
      <c r="K70" s="404"/>
      <c r="L70" s="73" t="s">
        <v>364</v>
      </c>
      <c r="M70" s="73" t="s">
        <v>547</v>
      </c>
      <c r="N70" s="404" t="s">
        <v>365</v>
      </c>
      <c r="AK70" s="95">
        <v>9.0000000000000107</v>
      </c>
      <c r="AL70" s="97">
        <f t="shared" ref="AL70:AN101" si="5">ROUND((10.666*$AN$2^-1.85*(AL$4/1000)^-4.87*($AK70/1000)^1.85)*1000,1)</f>
        <v>177</v>
      </c>
      <c r="AM70" s="119">
        <f t="shared" si="5"/>
        <v>88.2</v>
      </c>
      <c r="AN70" s="120">
        <f t="shared" si="5"/>
        <v>21.7</v>
      </c>
      <c r="BF70" s="60">
        <v>66</v>
      </c>
      <c r="BG70" s="86">
        <f t="shared" si="4"/>
        <v>1.1000000000000001</v>
      </c>
      <c r="BH70" s="60"/>
      <c r="BI70" s="60">
        <v>648</v>
      </c>
      <c r="BJ70" s="60">
        <v>230</v>
      </c>
      <c r="BK70" s="60">
        <v>99</v>
      </c>
      <c r="BL70" s="60">
        <v>26</v>
      </c>
      <c r="BM70" s="60">
        <v>9</v>
      </c>
      <c r="BN70" s="60"/>
    </row>
    <row r="71" spans="1:66" ht="24" x14ac:dyDescent="0.15">
      <c r="A71" s="113">
        <v>67</v>
      </c>
      <c r="B71" s="68">
        <v>318</v>
      </c>
      <c r="C71" s="115">
        <v>5.3</v>
      </c>
      <c r="E71" s="404"/>
      <c r="F71" s="404"/>
      <c r="G71" s="73" t="s">
        <v>225</v>
      </c>
      <c r="H71" s="74">
        <v>100</v>
      </c>
      <c r="I71" s="405"/>
      <c r="K71" s="404"/>
      <c r="L71" s="73" t="s">
        <v>366</v>
      </c>
      <c r="M71" s="73" t="s">
        <v>548</v>
      </c>
      <c r="N71" s="404"/>
      <c r="AK71" s="80">
        <v>9.1000000000000103</v>
      </c>
      <c r="AL71" s="97">
        <f t="shared" si="5"/>
        <v>180.6</v>
      </c>
      <c r="AM71" s="119">
        <f t="shared" si="5"/>
        <v>90</v>
      </c>
      <c r="AN71" s="120">
        <f t="shared" si="5"/>
        <v>22.2</v>
      </c>
      <c r="BF71" s="60">
        <v>67</v>
      </c>
      <c r="BG71" s="86">
        <f t="shared" si="4"/>
        <v>1.1166666666666667</v>
      </c>
      <c r="BH71" s="60"/>
      <c r="BI71" s="60">
        <v>666</v>
      </c>
      <c r="BJ71" s="60">
        <v>236</v>
      </c>
      <c r="BK71" s="60">
        <v>101</v>
      </c>
      <c r="BL71" s="60">
        <v>27</v>
      </c>
      <c r="BM71" s="60">
        <v>9</v>
      </c>
      <c r="BN71" s="60"/>
    </row>
    <row r="72" spans="1:66" ht="13.5" x14ac:dyDescent="0.15">
      <c r="A72" s="68">
        <v>68</v>
      </c>
      <c r="B72" s="68">
        <v>321</v>
      </c>
      <c r="C72" s="115">
        <v>5.4</v>
      </c>
      <c r="E72" s="404">
        <v>13</v>
      </c>
      <c r="F72" s="404" t="s">
        <v>278</v>
      </c>
      <c r="G72" s="73" t="s">
        <v>279</v>
      </c>
      <c r="H72" s="74">
        <v>15</v>
      </c>
      <c r="I72" s="74">
        <v>12</v>
      </c>
      <c r="K72" s="404"/>
      <c r="L72" s="73" t="s">
        <v>367</v>
      </c>
      <c r="M72" s="404" t="s">
        <v>368</v>
      </c>
      <c r="N72" s="404"/>
      <c r="AK72" s="95">
        <v>9.2000000000000099</v>
      </c>
      <c r="AL72" s="97">
        <f t="shared" si="5"/>
        <v>184.3</v>
      </c>
      <c r="AM72" s="119">
        <f t="shared" si="5"/>
        <v>91.8</v>
      </c>
      <c r="AN72" s="120">
        <f t="shared" si="5"/>
        <v>22.6</v>
      </c>
      <c r="BF72" s="60">
        <v>68</v>
      </c>
      <c r="BG72" s="86">
        <f t="shared" si="4"/>
        <v>1.1333333333333333</v>
      </c>
      <c r="BH72" s="60"/>
      <c r="BI72" s="60">
        <v>684</v>
      </c>
      <c r="BJ72" s="60">
        <v>242</v>
      </c>
      <c r="BK72" s="60">
        <v>104</v>
      </c>
      <c r="BL72" s="60">
        <v>27</v>
      </c>
      <c r="BM72" s="60">
        <v>10</v>
      </c>
      <c r="BN72" s="60"/>
    </row>
    <row r="73" spans="1:66" ht="13.5" x14ac:dyDescent="0.15">
      <c r="E73" s="404"/>
      <c r="F73" s="404"/>
      <c r="G73" s="73" t="s">
        <v>225</v>
      </c>
      <c r="H73" s="74">
        <v>100</v>
      </c>
      <c r="I73" s="74">
        <v>8</v>
      </c>
      <c r="K73" s="404"/>
      <c r="L73" s="73" t="s">
        <v>369</v>
      </c>
      <c r="M73" s="404" t="s">
        <v>368</v>
      </c>
      <c r="N73" s="404"/>
      <c r="AK73" s="80">
        <v>9.3000000000000096</v>
      </c>
      <c r="AL73" s="97">
        <f t="shared" si="5"/>
        <v>188</v>
      </c>
      <c r="AM73" s="119">
        <f t="shared" si="5"/>
        <v>93.7</v>
      </c>
      <c r="AN73" s="120">
        <f t="shared" si="5"/>
        <v>23.1</v>
      </c>
      <c r="BF73" s="60">
        <v>69</v>
      </c>
      <c r="BG73" s="86">
        <f t="shared" si="4"/>
        <v>1.1499999999999999</v>
      </c>
      <c r="BH73" s="60"/>
      <c r="BI73" s="60">
        <v>703</v>
      </c>
      <c r="BJ73" s="60">
        <v>249</v>
      </c>
      <c r="BK73" s="60">
        <v>107</v>
      </c>
      <c r="BL73" s="60">
        <v>28</v>
      </c>
      <c r="BM73" s="60">
        <v>10</v>
      </c>
      <c r="BN73" s="60"/>
    </row>
    <row r="74" spans="1:66" ht="13.5" x14ac:dyDescent="0.15">
      <c r="E74" s="404"/>
      <c r="F74" s="404" t="s">
        <v>280</v>
      </c>
      <c r="G74" s="73" t="s">
        <v>225</v>
      </c>
      <c r="H74" s="74">
        <v>100</v>
      </c>
      <c r="I74" s="405">
        <v>10</v>
      </c>
      <c r="K74" s="404" t="s">
        <v>370</v>
      </c>
      <c r="L74" s="73" t="s">
        <v>278</v>
      </c>
      <c r="M74" s="404" t="s">
        <v>371</v>
      </c>
      <c r="N74" s="404"/>
      <c r="AK74" s="95">
        <v>9.4000000000000092</v>
      </c>
      <c r="AL74" s="97">
        <f t="shared" si="5"/>
        <v>191.8</v>
      </c>
      <c r="AM74" s="119">
        <f t="shared" si="5"/>
        <v>95.5</v>
      </c>
      <c r="AN74" s="120">
        <f t="shared" si="5"/>
        <v>23.5</v>
      </c>
      <c r="BF74" s="60">
        <v>70</v>
      </c>
      <c r="BG74" s="86">
        <f t="shared" si="4"/>
        <v>1.1666666666666667</v>
      </c>
      <c r="BH74" s="60"/>
      <c r="BI74" s="60">
        <v>721</v>
      </c>
      <c r="BJ74" s="60">
        <v>255</v>
      </c>
      <c r="BK74" s="60">
        <v>109</v>
      </c>
      <c r="BL74" s="60">
        <v>29</v>
      </c>
      <c r="BM74" s="60">
        <v>10</v>
      </c>
      <c r="BN74" s="60"/>
    </row>
    <row r="75" spans="1:66" ht="13.5" x14ac:dyDescent="0.15">
      <c r="E75" s="404"/>
      <c r="F75" s="404"/>
      <c r="G75" s="73" t="s">
        <v>281</v>
      </c>
      <c r="H75" s="74">
        <v>120</v>
      </c>
      <c r="I75" s="405"/>
      <c r="K75" s="404"/>
      <c r="L75" s="404" t="s">
        <v>372</v>
      </c>
      <c r="M75" s="404" t="s">
        <v>373</v>
      </c>
      <c r="N75" s="404"/>
      <c r="AK75" s="80">
        <v>9.5000000000000107</v>
      </c>
      <c r="AL75" s="97">
        <f t="shared" si="5"/>
        <v>195.6</v>
      </c>
      <c r="AM75" s="119">
        <f t="shared" si="5"/>
        <v>97.4</v>
      </c>
      <c r="AN75" s="120">
        <f t="shared" si="5"/>
        <v>24</v>
      </c>
      <c r="BF75" s="60">
        <v>71</v>
      </c>
      <c r="BG75" s="86">
        <f t="shared" si="4"/>
        <v>1.1833333333333333</v>
      </c>
      <c r="BH75" s="60"/>
      <c r="BI75" s="60">
        <v>740</v>
      </c>
      <c r="BJ75" s="60">
        <v>262</v>
      </c>
      <c r="BK75" s="60">
        <v>112</v>
      </c>
      <c r="BL75" s="60">
        <v>29</v>
      </c>
      <c r="BM75" s="60">
        <v>10</v>
      </c>
      <c r="BN75" s="60"/>
    </row>
    <row r="76" spans="1:66" ht="13.5" x14ac:dyDescent="0.15">
      <c r="E76" s="404">
        <v>14</v>
      </c>
      <c r="F76" s="73" t="s">
        <v>282</v>
      </c>
      <c r="G76" s="73" t="s">
        <v>249</v>
      </c>
      <c r="H76" s="74">
        <v>20</v>
      </c>
      <c r="I76" s="74">
        <v>12</v>
      </c>
      <c r="K76" s="404"/>
      <c r="L76" s="404"/>
      <c r="M76" s="404" t="s">
        <v>374</v>
      </c>
      <c r="N76" s="404"/>
      <c r="AK76" s="95">
        <v>9.6000000000000103</v>
      </c>
      <c r="AL76" s="97">
        <f t="shared" si="5"/>
        <v>199.4</v>
      </c>
      <c r="AM76" s="119">
        <f t="shared" si="5"/>
        <v>99.3</v>
      </c>
      <c r="AN76" s="120">
        <f t="shared" si="5"/>
        <v>24.5</v>
      </c>
      <c r="BF76" s="60">
        <v>72</v>
      </c>
      <c r="BG76" s="86">
        <f t="shared" si="4"/>
        <v>1.2</v>
      </c>
      <c r="BH76" s="60"/>
      <c r="BI76" s="60">
        <v>759</v>
      </c>
      <c r="BJ76" s="60">
        <v>268</v>
      </c>
      <c r="BK76" s="60">
        <v>115</v>
      </c>
      <c r="BL76" s="60">
        <v>30</v>
      </c>
      <c r="BM76" s="60">
        <v>11</v>
      </c>
      <c r="BN76" s="60"/>
    </row>
    <row r="77" spans="1:66" ht="13.5" x14ac:dyDescent="0.15">
      <c r="E77" s="404"/>
      <c r="F77" s="73" t="s">
        <v>283</v>
      </c>
      <c r="G77" s="73" t="s">
        <v>247</v>
      </c>
      <c r="H77" s="74">
        <v>15</v>
      </c>
      <c r="I77" s="74">
        <v>12</v>
      </c>
      <c r="K77" s="404"/>
      <c r="L77" s="404"/>
      <c r="M77" s="404" t="s">
        <v>375</v>
      </c>
      <c r="N77" s="404"/>
      <c r="AK77" s="80">
        <v>9.7000000000000099</v>
      </c>
      <c r="AL77" s="97">
        <f t="shared" si="5"/>
        <v>203.3</v>
      </c>
      <c r="AM77" s="119">
        <f t="shared" si="5"/>
        <v>101.3</v>
      </c>
      <c r="AN77" s="120">
        <f t="shared" si="5"/>
        <v>24.9</v>
      </c>
      <c r="BF77" s="60">
        <v>73</v>
      </c>
      <c r="BG77" s="86">
        <f t="shared" si="4"/>
        <v>1.2166666666666666</v>
      </c>
      <c r="BH77" s="60"/>
      <c r="BI77" s="60">
        <v>778</v>
      </c>
      <c r="BJ77" s="60">
        <v>275</v>
      </c>
      <c r="BK77" s="60">
        <v>118</v>
      </c>
      <c r="BL77" s="60">
        <v>31</v>
      </c>
      <c r="BM77" s="60">
        <v>11</v>
      </c>
      <c r="BN77" s="60"/>
    </row>
    <row r="78" spans="1:66" ht="13.5" x14ac:dyDescent="0.15">
      <c r="E78" s="404"/>
      <c r="F78" s="73" t="s">
        <v>284</v>
      </c>
      <c r="G78" s="73" t="s">
        <v>285</v>
      </c>
      <c r="H78" s="74">
        <v>110</v>
      </c>
      <c r="I78" s="74">
        <v>10</v>
      </c>
      <c r="K78" s="404"/>
      <c r="L78" s="404"/>
      <c r="M78" s="404" t="s">
        <v>376</v>
      </c>
      <c r="N78" s="404"/>
      <c r="AK78" s="95">
        <v>9.8000000000000096</v>
      </c>
      <c r="AL78" s="97">
        <f t="shared" si="5"/>
        <v>207.2</v>
      </c>
      <c r="AM78" s="119">
        <f t="shared" si="5"/>
        <v>103.2</v>
      </c>
      <c r="AN78" s="120">
        <f t="shared" si="5"/>
        <v>25.4</v>
      </c>
      <c r="BF78" s="60">
        <v>74</v>
      </c>
      <c r="BG78" s="86">
        <f t="shared" si="4"/>
        <v>1.2333333333333334</v>
      </c>
      <c r="BH78" s="60"/>
      <c r="BI78" s="60">
        <v>797</v>
      </c>
      <c r="BJ78" s="60">
        <v>282</v>
      </c>
      <c r="BK78" s="60">
        <v>121</v>
      </c>
      <c r="BL78" s="60">
        <v>32</v>
      </c>
      <c r="BM78" s="60">
        <v>11</v>
      </c>
      <c r="BN78" s="60"/>
    </row>
    <row r="79" spans="1:66" ht="13.5" x14ac:dyDescent="0.15">
      <c r="E79" s="73">
        <v>15</v>
      </c>
      <c r="F79" s="73" t="s">
        <v>286</v>
      </c>
      <c r="G79" s="73" t="s">
        <v>287</v>
      </c>
      <c r="H79" s="74">
        <v>10</v>
      </c>
      <c r="I79" s="74">
        <v>4</v>
      </c>
      <c r="K79" s="404"/>
      <c r="L79" s="404"/>
      <c r="M79" s="404" t="s">
        <v>377</v>
      </c>
      <c r="N79" s="404"/>
      <c r="AK79" s="80">
        <v>9.9000000000000092</v>
      </c>
      <c r="AL79" s="97">
        <f t="shared" si="5"/>
        <v>211.1</v>
      </c>
      <c r="AM79" s="119">
        <f t="shared" si="5"/>
        <v>105.1</v>
      </c>
      <c r="AN79" s="120">
        <f t="shared" si="5"/>
        <v>25.9</v>
      </c>
      <c r="BF79" s="60">
        <v>75</v>
      </c>
      <c r="BG79" s="86">
        <f t="shared" si="4"/>
        <v>1.25</v>
      </c>
      <c r="BH79" s="60"/>
      <c r="BI79" s="60">
        <v>817</v>
      </c>
      <c r="BJ79" s="60">
        <v>288</v>
      </c>
      <c r="BK79" s="60">
        <v>124</v>
      </c>
      <c r="BL79" s="60">
        <v>32</v>
      </c>
      <c r="BM79" s="60">
        <v>11</v>
      </c>
      <c r="BN79" s="60"/>
    </row>
    <row r="80" spans="1:66" ht="13.5" x14ac:dyDescent="0.15">
      <c r="E80" s="121" t="s">
        <v>393</v>
      </c>
      <c r="K80" s="404"/>
      <c r="L80" s="404"/>
      <c r="M80" s="404" t="s">
        <v>378</v>
      </c>
      <c r="N80" s="404"/>
      <c r="AK80" s="95">
        <v>10</v>
      </c>
      <c r="AL80" s="97">
        <f t="shared" si="5"/>
        <v>215</v>
      </c>
      <c r="AM80" s="119">
        <f t="shared" si="5"/>
        <v>107.1</v>
      </c>
      <c r="AN80" s="120">
        <f t="shared" si="5"/>
        <v>26.4</v>
      </c>
      <c r="BF80" s="60">
        <v>76</v>
      </c>
      <c r="BG80" s="86">
        <f t="shared" si="4"/>
        <v>1.2666666666666666</v>
      </c>
      <c r="BH80" s="60"/>
      <c r="BI80" s="60">
        <v>837</v>
      </c>
      <c r="BJ80" s="60">
        <v>295</v>
      </c>
      <c r="BK80" s="60">
        <v>126</v>
      </c>
      <c r="BL80" s="60">
        <v>33</v>
      </c>
      <c r="BM80" s="60">
        <v>12</v>
      </c>
      <c r="BN80" s="60"/>
    </row>
    <row r="81" spans="5:66" ht="13.5" x14ac:dyDescent="0.15">
      <c r="E81" s="121" t="s">
        <v>394</v>
      </c>
      <c r="K81" s="404"/>
      <c r="L81" s="404"/>
      <c r="M81" s="404" t="s">
        <v>379</v>
      </c>
      <c r="N81" s="404"/>
      <c r="AK81" s="80">
        <v>10.1</v>
      </c>
      <c r="AL81" s="97">
        <f t="shared" si="5"/>
        <v>219</v>
      </c>
      <c r="AM81" s="119">
        <f t="shared" si="5"/>
        <v>109.1</v>
      </c>
      <c r="AN81" s="120">
        <f t="shared" si="5"/>
        <v>26.9</v>
      </c>
      <c r="BF81" s="60">
        <v>77</v>
      </c>
      <c r="BG81" s="86">
        <f t="shared" si="4"/>
        <v>1.2833333333333334</v>
      </c>
      <c r="BH81" s="60"/>
      <c r="BI81" s="60">
        <v>857</v>
      </c>
      <c r="BJ81" s="60">
        <v>302</v>
      </c>
      <c r="BK81" s="60">
        <v>129</v>
      </c>
      <c r="BL81" s="60">
        <v>34</v>
      </c>
      <c r="BM81" s="60">
        <v>12</v>
      </c>
      <c r="BN81" s="60"/>
    </row>
    <row r="82" spans="5:66" ht="13.5" x14ac:dyDescent="0.15">
      <c r="E82" s="121" t="s">
        <v>395</v>
      </c>
      <c r="K82" s="404" t="s">
        <v>380</v>
      </c>
      <c r="L82" s="73" t="s">
        <v>282</v>
      </c>
      <c r="M82" s="404" t="s">
        <v>368</v>
      </c>
      <c r="N82" s="404"/>
      <c r="AK82" s="95">
        <v>10.199999999999999</v>
      </c>
      <c r="AL82" s="97">
        <f t="shared" si="5"/>
        <v>223.1</v>
      </c>
      <c r="AM82" s="119">
        <f t="shared" si="5"/>
        <v>111.1</v>
      </c>
      <c r="AN82" s="120">
        <f t="shared" si="5"/>
        <v>27.4</v>
      </c>
      <c r="BF82" s="60">
        <v>78</v>
      </c>
      <c r="BG82" s="86">
        <f t="shared" si="4"/>
        <v>1.3</v>
      </c>
      <c r="BH82" s="60"/>
      <c r="BI82" s="60">
        <v>877</v>
      </c>
      <c r="BJ82" s="60">
        <v>309</v>
      </c>
      <c r="BK82" s="60">
        <v>132</v>
      </c>
      <c r="BL82" s="60">
        <v>35</v>
      </c>
      <c r="BM82" s="60">
        <v>12</v>
      </c>
      <c r="BN82" s="60"/>
    </row>
    <row r="83" spans="5:66" ht="13.5" x14ac:dyDescent="0.15">
      <c r="E83" s="121" t="s">
        <v>396</v>
      </c>
      <c r="K83" s="404"/>
      <c r="L83" s="73" t="s">
        <v>381</v>
      </c>
      <c r="M83" s="404" t="s">
        <v>368</v>
      </c>
      <c r="N83" s="404"/>
      <c r="AK83" s="80">
        <v>10.3</v>
      </c>
      <c r="AL83" s="97">
        <f t="shared" si="5"/>
        <v>227.1</v>
      </c>
      <c r="AM83" s="119">
        <f t="shared" si="5"/>
        <v>113.1</v>
      </c>
      <c r="AN83" s="120">
        <f t="shared" si="5"/>
        <v>27.9</v>
      </c>
      <c r="BF83" s="60">
        <v>79</v>
      </c>
      <c r="BG83" s="86">
        <f t="shared" si="4"/>
        <v>1.3166666666666667</v>
      </c>
      <c r="BH83" s="60"/>
      <c r="BI83" s="60">
        <v>898</v>
      </c>
      <c r="BJ83" s="60">
        <v>317</v>
      </c>
      <c r="BK83" s="60">
        <v>135</v>
      </c>
      <c r="BL83" s="60">
        <v>35</v>
      </c>
      <c r="BM83" s="60">
        <v>12</v>
      </c>
      <c r="BN83" s="60"/>
    </row>
    <row r="84" spans="5:66" ht="24" x14ac:dyDescent="0.15">
      <c r="K84" s="404"/>
      <c r="L84" s="73" t="s">
        <v>283</v>
      </c>
      <c r="M84" s="404" t="s">
        <v>382</v>
      </c>
      <c r="N84" s="404"/>
      <c r="AK84" s="95">
        <v>10.4</v>
      </c>
      <c r="AL84" s="97">
        <f t="shared" si="5"/>
        <v>231.2</v>
      </c>
      <c r="AM84" s="119">
        <f t="shared" si="5"/>
        <v>115.2</v>
      </c>
      <c r="AN84" s="120">
        <f t="shared" si="5"/>
        <v>28.4</v>
      </c>
      <c r="BF84" s="60">
        <v>80</v>
      </c>
      <c r="BG84" s="86">
        <f t="shared" si="4"/>
        <v>1.3333333333333333</v>
      </c>
      <c r="BH84" s="60"/>
      <c r="BI84" s="60">
        <v>918</v>
      </c>
      <c r="BJ84" s="60">
        <v>324</v>
      </c>
      <c r="BK84" s="60">
        <v>138</v>
      </c>
      <c r="BL84" s="60">
        <v>36</v>
      </c>
      <c r="BM84" s="60">
        <v>13</v>
      </c>
      <c r="BN84" s="60"/>
    </row>
    <row r="85" spans="5:66" ht="13.5" x14ac:dyDescent="0.15">
      <c r="K85" s="404"/>
      <c r="L85" s="404" t="s">
        <v>284</v>
      </c>
      <c r="M85" s="404" t="s">
        <v>383</v>
      </c>
      <c r="N85" s="404"/>
      <c r="AK85" s="80">
        <v>10.5</v>
      </c>
      <c r="AL85" s="97">
        <f t="shared" si="5"/>
        <v>235.4</v>
      </c>
      <c r="AM85" s="119">
        <f t="shared" si="5"/>
        <v>117.2</v>
      </c>
      <c r="AN85" s="120">
        <f t="shared" si="5"/>
        <v>28.9</v>
      </c>
      <c r="BF85" s="60">
        <v>81</v>
      </c>
      <c r="BG85" s="86">
        <f t="shared" si="4"/>
        <v>1.35</v>
      </c>
      <c r="BH85" s="60"/>
      <c r="BI85" s="60"/>
      <c r="BJ85" s="60">
        <v>331</v>
      </c>
      <c r="BK85" s="60">
        <v>142</v>
      </c>
      <c r="BL85" s="60">
        <v>37</v>
      </c>
      <c r="BM85" s="60">
        <v>13</v>
      </c>
      <c r="BN85" s="60"/>
    </row>
    <row r="86" spans="5:66" ht="13.5" x14ac:dyDescent="0.15">
      <c r="K86" s="404"/>
      <c r="L86" s="404"/>
      <c r="M86" s="404" t="s">
        <v>384</v>
      </c>
      <c r="N86" s="404"/>
      <c r="AK86" s="95">
        <v>10.6</v>
      </c>
      <c r="AL86" s="97">
        <f t="shared" si="5"/>
        <v>239.5</v>
      </c>
      <c r="AM86" s="119">
        <f t="shared" si="5"/>
        <v>119.3</v>
      </c>
      <c r="AN86" s="120">
        <f t="shared" si="5"/>
        <v>29.4</v>
      </c>
      <c r="BF86" s="60">
        <v>82</v>
      </c>
      <c r="BG86" s="86">
        <f t="shared" si="4"/>
        <v>1.3666666666666667</v>
      </c>
      <c r="BH86" s="60"/>
      <c r="BI86" s="60"/>
      <c r="BJ86" s="60">
        <v>338</v>
      </c>
      <c r="BK86" s="60">
        <v>145</v>
      </c>
      <c r="BL86" s="60">
        <v>38</v>
      </c>
      <c r="BM86" s="60">
        <v>13</v>
      </c>
      <c r="BN86" s="60"/>
    </row>
    <row r="87" spans="5:66" ht="13.5" x14ac:dyDescent="0.15">
      <c r="K87" s="404"/>
      <c r="L87" s="404"/>
      <c r="M87" s="404" t="s">
        <v>385</v>
      </c>
      <c r="N87" s="404"/>
      <c r="AK87" s="80">
        <v>10.7</v>
      </c>
      <c r="AL87" s="97">
        <f t="shared" si="5"/>
        <v>243.7</v>
      </c>
      <c r="AM87" s="119">
        <f t="shared" si="5"/>
        <v>121.4</v>
      </c>
      <c r="AN87" s="120">
        <f t="shared" si="5"/>
        <v>29.9</v>
      </c>
      <c r="BF87" s="60">
        <v>83</v>
      </c>
      <c r="BG87" s="86">
        <f t="shared" si="4"/>
        <v>1.3833333333333333</v>
      </c>
      <c r="BH87" s="60"/>
      <c r="BI87" s="60"/>
      <c r="BJ87" s="60">
        <v>346</v>
      </c>
      <c r="BK87" s="60">
        <v>148</v>
      </c>
      <c r="BL87" s="60">
        <v>39</v>
      </c>
      <c r="BM87" s="60">
        <v>14</v>
      </c>
      <c r="BN87" s="60"/>
    </row>
    <row r="88" spans="5:66" ht="13.5" x14ac:dyDescent="0.15">
      <c r="K88" s="404"/>
      <c r="L88" s="404"/>
      <c r="M88" s="404" t="s">
        <v>386</v>
      </c>
      <c r="N88" s="404"/>
      <c r="AK88" s="95">
        <v>10.8</v>
      </c>
      <c r="AL88" s="97">
        <f t="shared" si="5"/>
        <v>248</v>
      </c>
      <c r="AM88" s="119">
        <f t="shared" si="5"/>
        <v>123.5</v>
      </c>
      <c r="AN88" s="120">
        <f t="shared" si="5"/>
        <v>30.4</v>
      </c>
      <c r="BF88" s="60">
        <v>84</v>
      </c>
      <c r="BG88" s="86">
        <f t="shared" si="4"/>
        <v>1.4</v>
      </c>
      <c r="BH88" s="60"/>
      <c r="BI88" s="60"/>
      <c r="BJ88" s="60">
        <v>353</v>
      </c>
      <c r="BK88" s="60">
        <v>151</v>
      </c>
      <c r="BL88" s="60">
        <v>40</v>
      </c>
      <c r="BM88" s="60">
        <v>14</v>
      </c>
      <c r="BN88" s="60"/>
    </row>
    <row r="89" spans="5:66" ht="13.5" x14ac:dyDescent="0.15">
      <c r="K89" s="404"/>
      <c r="L89" s="404" t="s">
        <v>286</v>
      </c>
      <c r="M89" s="404" t="s">
        <v>547</v>
      </c>
      <c r="N89" s="73" t="s">
        <v>387</v>
      </c>
      <c r="AK89" s="80">
        <v>10.9</v>
      </c>
      <c r="AL89" s="97">
        <f t="shared" si="5"/>
        <v>252.2</v>
      </c>
      <c r="AM89" s="119">
        <f t="shared" si="5"/>
        <v>125.6</v>
      </c>
      <c r="AN89" s="120">
        <f t="shared" si="5"/>
        <v>31</v>
      </c>
      <c r="BF89" s="60">
        <v>85</v>
      </c>
      <c r="BG89" s="86">
        <f t="shared" si="4"/>
        <v>1.4166666666666667</v>
      </c>
      <c r="BH89" s="60"/>
      <c r="BI89" s="60"/>
      <c r="BJ89" s="60">
        <v>361</v>
      </c>
      <c r="BK89" s="60">
        <v>154</v>
      </c>
      <c r="BL89" s="60">
        <v>40</v>
      </c>
      <c r="BM89" s="60">
        <v>14</v>
      </c>
      <c r="BN89" s="60"/>
    </row>
    <row r="90" spans="5:66" ht="24" x14ac:dyDescent="0.15">
      <c r="K90" s="404"/>
      <c r="L90" s="404"/>
      <c r="M90" s="404"/>
      <c r="N90" s="73" t="s">
        <v>388</v>
      </c>
      <c r="AK90" s="95">
        <v>11</v>
      </c>
      <c r="AL90" s="97">
        <f t="shared" si="5"/>
        <v>256.5</v>
      </c>
      <c r="AM90" s="119">
        <f t="shared" si="5"/>
        <v>127.8</v>
      </c>
      <c r="AN90" s="120">
        <f t="shared" si="5"/>
        <v>31.5</v>
      </c>
      <c r="BF90" s="60">
        <v>86</v>
      </c>
      <c r="BG90" s="86">
        <f t="shared" si="4"/>
        <v>1.4333333333333333</v>
      </c>
      <c r="BH90" s="60"/>
      <c r="BI90" s="60"/>
      <c r="BJ90" s="60">
        <v>369</v>
      </c>
      <c r="BK90" s="60">
        <v>157</v>
      </c>
      <c r="BL90" s="60">
        <v>41</v>
      </c>
      <c r="BM90" s="60">
        <v>14</v>
      </c>
      <c r="BN90" s="60"/>
    </row>
    <row r="91" spans="5:66" ht="13.5" x14ac:dyDescent="0.15">
      <c r="K91" s="404" t="s">
        <v>389</v>
      </c>
      <c r="L91" s="404" t="s">
        <v>390</v>
      </c>
      <c r="M91" s="404"/>
      <c r="N91" s="404"/>
      <c r="AK91" s="80">
        <v>11.1</v>
      </c>
      <c r="AL91" s="97">
        <f t="shared" si="5"/>
        <v>260.8</v>
      </c>
      <c r="AM91" s="119">
        <f t="shared" si="5"/>
        <v>129.9</v>
      </c>
      <c r="AN91" s="120">
        <f t="shared" si="5"/>
        <v>32</v>
      </c>
      <c r="BF91" s="60">
        <v>87</v>
      </c>
      <c r="BG91" s="86">
        <f t="shared" si="4"/>
        <v>1.45</v>
      </c>
      <c r="BH91" s="60"/>
      <c r="BI91" s="60"/>
      <c r="BJ91" s="60">
        <v>376</v>
      </c>
      <c r="BK91" s="60">
        <v>161</v>
      </c>
      <c r="BL91" s="60">
        <v>42</v>
      </c>
      <c r="BM91" s="60">
        <v>15</v>
      </c>
      <c r="BN91" s="60"/>
    </row>
    <row r="92" spans="5:66" ht="13.5" x14ac:dyDescent="0.15">
      <c r="K92" s="404"/>
      <c r="L92" s="404" t="s">
        <v>391</v>
      </c>
      <c r="M92" s="404"/>
      <c r="N92" s="404"/>
      <c r="AK92" s="95">
        <v>11.2</v>
      </c>
      <c r="AL92" s="97">
        <f t="shared" si="5"/>
        <v>265.2</v>
      </c>
      <c r="AM92" s="119">
        <f t="shared" si="5"/>
        <v>132.1</v>
      </c>
      <c r="AN92" s="120">
        <f t="shared" si="5"/>
        <v>32.5</v>
      </c>
      <c r="BF92" s="60">
        <v>88</v>
      </c>
      <c r="BG92" s="86">
        <f t="shared" si="4"/>
        <v>1.4666666666666666</v>
      </c>
      <c r="BH92" s="60"/>
      <c r="BI92" s="60"/>
      <c r="BJ92" s="60">
        <v>384</v>
      </c>
      <c r="BK92" s="60">
        <v>164</v>
      </c>
      <c r="BL92" s="60">
        <v>43</v>
      </c>
      <c r="BM92" s="60">
        <v>15</v>
      </c>
      <c r="BN92" s="60"/>
    </row>
    <row r="93" spans="5:66" ht="13.5" x14ac:dyDescent="0.15">
      <c r="K93" s="404"/>
      <c r="L93" s="404" t="s">
        <v>392</v>
      </c>
      <c r="M93" s="404"/>
      <c r="N93" s="404"/>
      <c r="AK93" s="80">
        <v>11.3</v>
      </c>
      <c r="AL93" s="97">
        <f t="shared" si="5"/>
        <v>269.60000000000002</v>
      </c>
      <c r="AM93" s="119">
        <f t="shared" si="5"/>
        <v>134.30000000000001</v>
      </c>
      <c r="AN93" s="120">
        <f t="shared" si="5"/>
        <v>33.1</v>
      </c>
      <c r="BF93" s="60">
        <v>89</v>
      </c>
      <c r="BG93" s="86">
        <f t="shared" si="4"/>
        <v>1.4833333333333334</v>
      </c>
      <c r="BH93" s="60"/>
      <c r="BI93" s="60"/>
      <c r="BJ93" s="60">
        <v>392</v>
      </c>
      <c r="BK93" s="60">
        <v>167</v>
      </c>
      <c r="BL93" s="60">
        <v>44</v>
      </c>
      <c r="BM93" s="60">
        <v>15</v>
      </c>
      <c r="BN93" s="60"/>
    </row>
    <row r="94" spans="5:66" ht="13.5" x14ac:dyDescent="0.15">
      <c r="K94" s="42" t="s">
        <v>549</v>
      </c>
      <c r="AK94" s="95">
        <v>11.4</v>
      </c>
      <c r="AL94" s="97">
        <f t="shared" si="5"/>
        <v>274</v>
      </c>
      <c r="AM94" s="119">
        <f t="shared" si="5"/>
        <v>136.5</v>
      </c>
      <c r="AN94" s="120">
        <f t="shared" si="5"/>
        <v>33.6</v>
      </c>
      <c r="BF94" s="60">
        <v>90</v>
      </c>
      <c r="BG94" s="86">
        <f t="shared" si="4"/>
        <v>1.5</v>
      </c>
      <c r="BH94" s="60"/>
      <c r="BI94" s="60"/>
      <c r="BJ94" s="60">
        <v>400</v>
      </c>
      <c r="BK94" s="60">
        <v>171</v>
      </c>
      <c r="BL94" s="60">
        <v>45</v>
      </c>
      <c r="BM94" s="60">
        <v>16</v>
      </c>
      <c r="BN94" s="60"/>
    </row>
    <row r="95" spans="5:66" ht="13.5" x14ac:dyDescent="0.15">
      <c r="AK95" s="80">
        <v>11.5</v>
      </c>
      <c r="AL95" s="97">
        <f t="shared" si="5"/>
        <v>278.5</v>
      </c>
      <c r="AM95" s="119">
        <f t="shared" si="5"/>
        <v>138.69999999999999</v>
      </c>
      <c r="AN95" s="120">
        <f t="shared" si="5"/>
        <v>34.200000000000003</v>
      </c>
      <c r="BF95" s="60">
        <v>91</v>
      </c>
      <c r="BG95" s="86">
        <f t="shared" si="4"/>
        <v>1.5166666666666666</v>
      </c>
      <c r="BH95" s="60"/>
      <c r="BI95" s="60"/>
      <c r="BJ95" s="60">
        <v>408</v>
      </c>
      <c r="BK95" s="60">
        <v>174</v>
      </c>
      <c r="BL95" s="60">
        <v>45</v>
      </c>
      <c r="BM95" s="60">
        <v>16</v>
      </c>
      <c r="BN95" s="60"/>
    </row>
    <row r="96" spans="5:66" ht="13.5" x14ac:dyDescent="0.15">
      <c r="AK96" s="95">
        <v>11.6</v>
      </c>
      <c r="AL96" s="97">
        <f t="shared" si="5"/>
        <v>283</v>
      </c>
      <c r="AM96" s="119">
        <f t="shared" si="5"/>
        <v>141</v>
      </c>
      <c r="AN96" s="120">
        <f t="shared" si="5"/>
        <v>34.700000000000003</v>
      </c>
      <c r="BF96" s="60">
        <v>92</v>
      </c>
      <c r="BG96" s="86">
        <f t="shared" si="4"/>
        <v>1.5333333333333334</v>
      </c>
      <c r="BH96" s="60"/>
      <c r="BI96" s="60"/>
      <c r="BJ96" s="60">
        <v>416</v>
      </c>
      <c r="BK96" s="60">
        <v>178</v>
      </c>
      <c r="BL96" s="60">
        <v>46</v>
      </c>
      <c r="BM96" s="60">
        <v>16</v>
      </c>
      <c r="BN96" s="60"/>
    </row>
    <row r="97" spans="37:66" ht="13.5" x14ac:dyDescent="0.15">
      <c r="AK97" s="80">
        <v>11.7</v>
      </c>
      <c r="AL97" s="97">
        <f t="shared" si="5"/>
        <v>287.5</v>
      </c>
      <c r="AM97" s="119">
        <f t="shared" si="5"/>
        <v>143.19999999999999</v>
      </c>
      <c r="AN97" s="120">
        <f t="shared" si="5"/>
        <v>35.299999999999997</v>
      </c>
      <c r="BF97" s="60">
        <v>93</v>
      </c>
      <c r="BG97" s="86">
        <f t="shared" si="4"/>
        <v>1.55</v>
      </c>
      <c r="BH97" s="60"/>
      <c r="BI97" s="60"/>
      <c r="BJ97" s="60">
        <v>424</v>
      </c>
      <c r="BK97" s="60">
        <v>181</v>
      </c>
      <c r="BL97" s="60">
        <v>47</v>
      </c>
      <c r="BM97" s="60">
        <v>17</v>
      </c>
      <c r="BN97" s="60"/>
    </row>
    <row r="98" spans="37:66" ht="13.5" x14ac:dyDescent="0.15">
      <c r="AK98" s="95">
        <v>11.8</v>
      </c>
      <c r="AL98" s="97">
        <f t="shared" si="5"/>
        <v>292.10000000000002</v>
      </c>
      <c r="AM98" s="119">
        <f t="shared" si="5"/>
        <v>145.5</v>
      </c>
      <c r="AN98" s="120">
        <f t="shared" si="5"/>
        <v>35.799999999999997</v>
      </c>
      <c r="BF98" s="60">
        <v>94</v>
      </c>
      <c r="BG98" s="86">
        <f t="shared" si="4"/>
        <v>1.5666666666666667</v>
      </c>
      <c r="BH98" s="60"/>
      <c r="BI98" s="60"/>
      <c r="BJ98" s="60">
        <v>433</v>
      </c>
      <c r="BK98" s="60">
        <v>185</v>
      </c>
      <c r="BL98" s="60">
        <v>48</v>
      </c>
      <c r="BM98" s="60">
        <v>17</v>
      </c>
      <c r="BN98" s="60"/>
    </row>
    <row r="99" spans="37:66" ht="13.5" x14ac:dyDescent="0.15">
      <c r="AK99" s="80">
        <v>11.9</v>
      </c>
      <c r="AL99" s="97">
        <f t="shared" si="5"/>
        <v>296.7</v>
      </c>
      <c r="AM99" s="119">
        <f t="shared" si="5"/>
        <v>147.80000000000001</v>
      </c>
      <c r="AN99" s="120">
        <f t="shared" si="5"/>
        <v>36.4</v>
      </c>
      <c r="BF99" s="60">
        <v>95</v>
      </c>
      <c r="BG99" s="86">
        <f t="shared" si="4"/>
        <v>1.5833333333333333</v>
      </c>
      <c r="BH99" s="60"/>
      <c r="BI99" s="60"/>
      <c r="BJ99" s="60">
        <v>441</v>
      </c>
      <c r="BK99" s="60">
        <v>188</v>
      </c>
      <c r="BL99" s="60">
        <v>49</v>
      </c>
      <c r="BM99" s="60">
        <v>17</v>
      </c>
      <c r="BN99" s="60"/>
    </row>
    <row r="100" spans="37:66" ht="13.5" x14ac:dyDescent="0.15">
      <c r="AK100" s="95">
        <v>12</v>
      </c>
      <c r="AL100" s="97">
        <f t="shared" si="5"/>
        <v>301.3</v>
      </c>
      <c r="AM100" s="119">
        <f t="shared" si="5"/>
        <v>150.1</v>
      </c>
      <c r="AN100" s="120">
        <f t="shared" si="5"/>
        <v>37</v>
      </c>
      <c r="BF100" s="60">
        <v>96</v>
      </c>
      <c r="BG100" s="86">
        <f t="shared" si="4"/>
        <v>1.6</v>
      </c>
      <c r="BH100" s="60"/>
      <c r="BI100" s="60"/>
      <c r="BJ100" s="60">
        <v>449</v>
      </c>
      <c r="BK100" s="60">
        <v>192</v>
      </c>
      <c r="BL100" s="60">
        <v>50</v>
      </c>
      <c r="BM100" s="60">
        <v>18</v>
      </c>
      <c r="BN100" s="60"/>
    </row>
    <row r="101" spans="37:66" ht="13.5" x14ac:dyDescent="0.15">
      <c r="AK101" s="80">
        <v>12.1</v>
      </c>
      <c r="AL101" s="97">
        <f t="shared" si="5"/>
        <v>306</v>
      </c>
      <c r="AM101" s="119">
        <f t="shared" si="5"/>
        <v>152.4</v>
      </c>
      <c r="AN101" s="120">
        <f t="shared" si="5"/>
        <v>37.5</v>
      </c>
      <c r="BF101" s="60">
        <v>97</v>
      </c>
      <c r="BG101" s="86">
        <f t="shared" si="4"/>
        <v>1.6166666666666667</v>
      </c>
      <c r="BH101" s="60"/>
      <c r="BI101" s="60"/>
      <c r="BJ101" s="60">
        <v>458</v>
      </c>
      <c r="BK101" s="60">
        <v>195</v>
      </c>
      <c r="BL101" s="60">
        <v>51</v>
      </c>
      <c r="BM101" s="60">
        <v>18</v>
      </c>
      <c r="BN101" s="60"/>
    </row>
    <row r="102" spans="37:66" ht="13.5" x14ac:dyDescent="0.15">
      <c r="AK102" s="95">
        <v>12.2</v>
      </c>
      <c r="AL102" s="97">
        <f t="shared" ref="AL102:AN138" si="6">ROUND((10.666*$AN$2^-1.85*(AL$4/1000)^-4.87*($AK102/1000)^1.85)*1000,1)</f>
        <v>310.7</v>
      </c>
      <c r="AM102" s="119">
        <f t="shared" si="6"/>
        <v>154.80000000000001</v>
      </c>
      <c r="AN102" s="120">
        <f t="shared" si="6"/>
        <v>38.1</v>
      </c>
      <c r="BF102" s="60">
        <v>98</v>
      </c>
      <c r="BG102" s="86">
        <f t="shared" si="4"/>
        <v>1.6333333333333333</v>
      </c>
      <c r="BH102" s="60"/>
      <c r="BI102" s="60"/>
      <c r="BJ102" s="60">
        <v>466</v>
      </c>
      <c r="BK102" s="60">
        <v>199</v>
      </c>
      <c r="BL102" s="60">
        <v>52</v>
      </c>
      <c r="BM102" s="60">
        <v>18</v>
      </c>
      <c r="BN102" s="60"/>
    </row>
    <row r="103" spans="37:66" ht="13.5" x14ac:dyDescent="0.15">
      <c r="AK103" s="80">
        <v>12.3</v>
      </c>
      <c r="AL103" s="97">
        <f t="shared" si="6"/>
        <v>315.39999999999998</v>
      </c>
      <c r="AM103" s="119">
        <f t="shared" si="6"/>
        <v>157.1</v>
      </c>
      <c r="AN103" s="120">
        <f t="shared" si="6"/>
        <v>38.700000000000003</v>
      </c>
      <c r="BF103" s="60">
        <v>99</v>
      </c>
      <c r="BG103" s="86">
        <f t="shared" si="4"/>
        <v>1.65</v>
      </c>
      <c r="BH103" s="60"/>
      <c r="BI103" s="60"/>
      <c r="BJ103" s="60">
        <v>475</v>
      </c>
      <c r="BK103" s="60">
        <v>202</v>
      </c>
      <c r="BL103" s="60">
        <v>53</v>
      </c>
      <c r="BM103" s="60">
        <v>18</v>
      </c>
      <c r="BN103" s="60"/>
    </row>
    <row r="104" spans="37:66" ht="13.5" x14ac:dyDescent="0.15">
      <c r="AK104" s="95">
        <v>12.4</v>
      </c>
      <c r="AL104" s="97">
        <f t="shared" si="6"/>
        <v>320.2</v>
      </c>
      <c r="AM104" s="119">
        <f t="shared" si="6"/>
        <v>159.5</v>
      </c>
      <c r="AN104" s="120">
        <f t="shared" si="6"/>
        <v>39.299999999999997</v>
      </c>
      <c r="BF104" s="60">
        <v>100</v>
      </c>
      <c r="BG104" s="86">
        <f t="shared" si="4"/>
        <v>1.6666666666666667</v>
      </c>
      <c r="BH104" s="60"/>
      <c r="BI104" s="60"/>
      <c r="BJ104" s="60">
        <v>484</v>
      </c>
      <c r="BK104" s="60">
        <v>206</v>
      </c>
      <c r="BL104" s="60">
        <v>54</v>
      </c>
      <c r="BM104" s="60">
        <v>19</v>
      </c>
      <c r="BN104" s="60"/>
    </row>
    <row r="105" spans="37:66" ht="13.5" x14ac:dyDescent="0.15">
      <c r="AK105" s="80">
        <v>12.5</v>
      </c>
      <c r="AL105" s="97">
        <f t="shared" si="6"/>
        <v>325</v>
      </c>
      <c r="AM105" s="119">
        <f t="shared" si="6"/>
        <v>161.9</v>
      </c>
      <c r="AN105" s="120">
        <f t="shared" si="6"/>
        <v>39.9</v>
      </c>
      <c r="BF105" s="60">
        <v>101</v>
      </c>
      <c r="BG105" s="86">
        <f t="shared" si="4"/>
        <v>1.6833333333333333</v>
      </c>
      <c r="BH105" s="60"/>
      <c r="BI105" s="60"/>
      <c r="BJ105" s="60">
        <v>493</v>
      </c>
      <c r="BK105" s="60">
        <v>210</v>
      </c>
      <c r="BL105" s="60">
        <v>55</v>
      </c>
      <c r="BM105" s="60">
        <v>19</v>
      </c>
      <c r="BN105" s="60"/>
    </row>
    <row r="106" spans="37:66" ht="13.5" x14ac:dyDescent="0.15">
      <c r="AK106" s="95">
        <v>12.6</v>
      </c>
      <c r="AL106" s="97">
        <f t="shared" si="6"/>
        <v>329.8</v>
      </c>
      <c r="AM106" s="119">
        <f t="shared" si="6"/>
        <v>164.3</v>
      </c>
      <c r="AN106" s="120">
        <f t="shared" si="6"/>
        <v>40.5</v>
      </c>
      <c r="BF106" s="60">
        <v>102</v>
      </c>
      <c r="BG106" s="86">
        <f t="shared" si="4"/>
        <v>1.7</v>
      </c>
      <c r="BH106" s="60"/>
      <c r="BI106" s="60"/>
      <c r="BJ106" s="60">
        <v>501</v>
      </c>
      <c r="BK106" s="60">
        <v>214</v>
      </c>
      <c r="BL106" s="60">
        <v>56</v>
      </c>
      <c r="BM106" s="60">
        <v>19</v>
      </c>
      <c r="BN106" s="60"/>
    </row>
    <row r="107" spans="37:66" ht="13.5" x14ac:dyDescent="0.15">
      <c r="AK107" s="80">
        <v>12.7</v>
      </c>
      <c r="AL107" s="97">
        <f t="shared" si="6"/>
        <v>334.6</v>
      </c>
      <c r="AM107" s="119">
        <f t="shared" si="6"/>
        <v>166.7</v>
      </c>
      <c r="AN107" s="120">
        <f t="shared" si="6"/>
        <v>41.1</v>
      </c>
      <c r="BF107" s="60">
        <v>103</v>
      </c>
      <c r="BG107" s="86">
        <f t="shared" si="4"/>
        <v>1.7166666666666666</v>
      </c>
      <c r="BH107" s="60"/>
      <c r="BI107" s="60"/>
      <c r="BJ107" s="60">
        <v>510</v>
      </c>
      <c r="BK107" s="60">
        <v>217</v>
      </c>
      <c r="BL107" s="60">
        <v>57</v>
      </c>
      <c r="BM107" s="60">
        <v>20</v>
      </c>
      <c r="BN107" s="60"/>
    </row>
    <row r="108" spans="37:66" ht="13.5" x14ac:dyDescent="0.15">
      <c r="AK108" s="95">
        <v>12.8</v>
      </c>
      <c r="AL108" s="97">
        <f t="shared" si="6"/>
        <v>339.5</v>
      </c>
      <c r="AM108" s="119">
        <f t="shared" si="6"/>
        <v>169.1</v>
      </c>
      <c r="AN108" s="120">
        <f t="shared" si="6"/>
        <v>41.7</v>
      </c>
      <c r="BF108" s="60">
        <v>104</v>
      </c>
      <c r="BG108" s="86">
        <f t="shared" si="4"/>
        <v>1.7333333333333334</v>
      </c>
      <c r="BH108" s="60"/>
      <c r="BI108" s="60"/>
      <c r="BJ108" s="60">
        <v>519</v>
      </c>
      <c r="BK108" s="60">
        <v>221</v>
      </c>
      <c r="BL108" s="60">
        <v>58</v>
      </c>
      <c r="BM108" s="60">
        <v>20</v>
      </c>
      <c r="BN108" s="60"/>
    </row>
    <row r="109" spans="37:66" ht="13.5" x14ac:dyDescent="0.15">
      <c r="AK109" s="80">
        <v>12.9</v>
      </c>
      <c r="AL109" s="97">
        <f t="shared" si="6"/>
        <v>344.5</v>
      </c>
      <c r="AM109" s="119">
        <f t="shared" si="6"/>
        <v>171.6</v>
      </c>
      <c r="AN109" s="120">
        <f t="shared" si="6"/>
        <v>42.3</v>
      </c>
      <c r="BF109" s="60">
        <v>105</v>
      </c>
      <c r="BG109" s="86">
        <f t="shared" si="4"/>
        <v>1.75</v>
      </c>
      <c r="BH109" s="60"/>
      <c r="BI109" s="60"/>
      <c r="BJ109" s="60">
        <v>528</v>
      </c>
      <c r="BK109" s="60">
        <v>225</v>
      </c>
      <c r="BL109" s="60">
        <v>59</v>
      </c>
      <c r="BM109" s="60">
        <v>20</v>
      </c>
      <c r="BN109" s="60"/>
    </row>
    <row r="110" spans="37:66" ht="13.5" x14ac:dyDescent="0.15">
      <c r="AK110" s="95">
        <v>13</v>
      </c>
      <c r="AL110" s="97">
        <f t="shared" si="6"/>
        <v>349.4</v>
      </c>
      <c r="AM110" s="119">
        <f t="shared" si="6"/>
        <v>174</v>
      </c>
      <c r="AN110" s="120">
        <f t="shared" si="6"/>
        <v>42.9</v>
      </c>
      <c r="BF110" s="60">
        <v>106</v>
      </c>
      <c r="BG110" s="86">
        <f t="shared" si="4"/>
        <v>1.7666666666666666</v>
      </c>
      <c r="BH110" s="60"/>
      <c r="BI110" s="60"/>
      <c r="BJ110" s="60">
        <v>538</v>
      </c>
      <c r="BK110" s="60">
        <v>229</v>
      </c>
      <c r="BL110" s="60">
        <v>59</v>
      </c>
      <c r="BM110" s="60">
        <v>21</v>
      </c>
      <c r="BN110" s="60"/>
    </row>
    <row r="111" spans="37:66" ht="13.5" x14ac:dyDescent="0.15">
      <c r="AK111" s="80">
        <v>13.1</v>
      </c>
      <c r="AL111" s="97">
        <f t="shared" si="6"/>
        <v>354.4</v>
      </c>
      <c r="AM111" s="119">
        <f t="shared" si="6"/>
        <v>176.5</v>
      </c>
      <c r="AN111" s="120">
        <f t="shared" si="6"/>
        <v>43.5</v>
      </c>
      <c r="BF111" s="60">
        <v>107</v>
      </c>
      <c r="BG111" s="86">
        <f t="shared" si="4"/>
        <v>1.7833333333333334</v>
      </c>
      <c r="BH111" s="60"/>
      <c r="BI111" s="60"/>
      <c r="BJ111" s="60">
        <v>547</v>
      </c>
      <c r="BK111" s="60">
        <v>233</v>
      </c>
      <c r="BL111" s="60">
        <v>60</v>
      </c>
      <c r="BM111" s="60">
        <v>21</v>
      </c>
      <c r="BN111" s="60"/>
    </row>
    <row r="112" spans="37:66" ht="13.5" x14ac:dyDescent="0.15">
      <c r="AK112" s="95">
        <v>13.2</v>
      </c>
      <c r="AL112" s="97">
        <f t="shared" si="6"/>
        <v>359.4</v>
      </c>
      <c r="AM112" s="119">
        <f t="shared" si="6"/>
        <v>179</v>
      </c>
      <c r="AN112" s="120">
        <f t="shared" si="6"/>
        <v>44.1</v>
      </c>
      <c r="BF112" s="60">
        <v>108</v>
      </c>
      <c r="BG112" s="86">
        <f t="shared" si="4"/>
        <v>1.8</v>
      </c>
      <c r="BH112" s="60"/>
      <c r="BI112" s="60"/>
      <c r="BJ112" s="60">
        <v>556</v>
      </c>
      <c r="BK112" s="60">
        <v>237</v>
      </c>
      <c r="BL112" s="60">
        <v>61</v>
      </c>
      <c r="BM112" s="60">
        <v>22</v>
      </c>
      <c r="BN112" s="60"/>
    </row>
    <row r="113" spans="37:66" ht="13.5" x14ac:dyDescent="0.15">
      <c r="AK113" s="80">
        <v>13.3</v>
      </c>
      <c r="AL113" s="97">
        <f t="shared" si="6"/>
        <v>364.5</v>
      </c>
      <c r="AM113" s="119">
        <f t="shared" si="6"/>
        <v>181.6</v>
      </c>
      <c r="AN113" s="120">
        <f t="shared" si="6"/>
        <v>44.7</v>
      </c>
      <c r="BF113" s="60">
        <v>109</v>
      </c>
      <c r="BG113" s="86">
        <f t="shared" si="4"/>
        <v>1.8166666666666667</v>
      </c>
      <c r="BH113" s="60"/>
      <c r="BI113" s="60"/>
      <c r="BJ113" s="60">
        <v>565</v>
      </c>
      <c r="BK113" s="60">
        <v>241</v>
      </c>
      <c r="BL113" s="60">
        <v>63</v>
      </c>
      <c r="BM113" s="60">
        <v>22</v>
      </c>
      <c r="BN113" s="60"/>
    </row>
    <row r="114" spans="37:66" ht="13.5" x14ac:dyDescent="0.15">
      <c r="AK114" s="95">
        <v>13.4</v>
      </c>
      <c r="AL114" s="97">
        <f t="shared" si="6"/>
        <v>369.6</v>
      </c>
      <c r="AM114" s="119">
        <f t="shared" si="6"/>
        <v>184.1</v>
      </c>
      <c r="AN114" s="120">
        <f t="shared" si="6"/>
        <v>45.3</v>
      </c>
      <c r="BF114" s="60">
        <v>110</v>
      </c>
      <c r="BG114" s="86">
        <f t="shared" si="4"/>
        <v>1.8333333333333333</v>
      </c>
      <c r="BH114" s="60"/>
      <c r="BI114" s="60"/>
      <c r="BJ114" s="60">
        <v>575</v>
      </c>
      <c r="BK114" s="60">
        <v>245</v>
      </c>
      <c r="BL114" s="60">
        <v>64</v>
      </c>
      <c r="BM114" s="60">
        <v>22</v>
      </c>
      <c r="BN114" s="60"/>
    </row>
    <row r="115" spans="37:66" ht="13.5" x14ac:dyDescent="0.15">
      <c r="AK115" s="80">
        <v>13.5</v>
      </c>
      <c r="AL115" s="97">
        <f t="shared" si="6"/>
        <v>374.7</v>
      </c>
      <c r="AM115" s="119">
        <f t="shared" si="6"/>
        <v>186.6</v>
      </c>
      <c r="AN115" s="120">
        <f t="shared" si="6"/>
        <v>46</v>
      </c>
      <c r="BF115" s="60">
        <v>111</v>
      </c>
      <c r="BG115" s="86">
        <f t="shared" si="4"/>
        <v>1.85</v>
      </c>
      <c r="BH115" s="60"/>
      <c r="BI115" s="60"/>
      <c r="BJ115" s="60">
        <v>584</v>
      </c>
      <c r="BK115" s="60">
        <v>249</v>
      </c>
      <c r="BL115" s="60">
        <v>65</v>
      </c>
      <c r="BM115" s="60">
        <v>23</v>
      </c>
      <c r="BN115" s="60"/>
    </row>
    <row r="116" spans="37:66" ht="13.5" x14ac:dyDescent="0.15">
      <c r="AK116" s="95">
        <v>13.6</v>
      </c>
      <c r="AL116" s="97">
        <f t="shared" si="6"/>
        <v>379.8</v>
      </c>
      <c r="AM116" s="119">
        <f t="shared" si="6"/>
        <v>189.2</v>
      </c>
      <c r="AN116" s="120">
        <f t="shared" si="6"/>
        <v>46.6</v>
      </c>
      <c r="BF116" s="60">
        <v>112</v>
      </c>
      <c r="BG116" s="86">
        <f t="shared" si="4"/>
        <v>1.8666666666666667</v>
      </c>
      <c r="BH116" s="60"/>
      <c r="BI116" s="60"/>
      <c r="BJ116" s="60">
        <v>594</v>
      </c>
      <c r="BK116" s="60">
        <v>253</v>
      </c>
      <c r="BL116" s="60">
        <v>66</v>
      </c>
      <c r="BM116" s="60">
        <v>23</v>
      </c>
      <c r="BN116" s="60"/>
    </row>
    <row r="117" spans="37:66" ht="13.5" x14ac:dyDescent="0.15">
      <c r="AK117" s="80">
        <v>13.7</v>
      </c>
      <c r="AL117" s="97">
        <f t="shared" si="6"/>
        <v>385</v>
      </c>
      <c r="AM117" s="119">
        <f t="shared" si="6"/>
        <v>191.8</v>
      </c>
      <c r="AN117" s="120">
        <f t="shared" si="6"/>
        <v>47.2</v>
      </c>
      <c r="BF117" s="60">
        <v>113</v>
      </c>
      <c r="BG117" s="86">
        <f t="shared" si="4"/>
        <v>1.8833333333333333</v>
      </c>
      <c r="BH117" s="60"/>
      <c r="BI117" s="60"/>
      <c r="BJ117" s="60">
        <v>604</v>
      </c>
      <c r="BK117" s="60">
        <v>257</v>
      </c>
      <c r="BL117" s="60">
        <v>67</v>
      </c>
      <c r="BM117" s="60">
        <v>23</v>
      </c>
      <c r="BN117" s="60"/>
    </row>
    <row r="118" spans="37:66" ht="13.5" x14ac:dyDescent="0.15">
      <c r="AK118" s="95">
        <v>13.8</v>
      </c>
      <c r="AL118" s="97">
        <f t="shared" si="6"/>
        <v>390.2</v>
      </c>
      <c r="AM118" s="119">
        <f t="shared" si="6"/>
        <v>194.4</v>
      </c>
      <c r="AN118" s="120">
        <f t="shared" si="6"/>
        <v>47.9</v>
      </c>
      <c r="BF118" s="60">
        <v>114</v>
      </c>
      <c r="BG118" s="86">
        <f t="shared" si="4"/>
        <v>1.9</v>
      </c>
      <c r="BH118" s="60"/>
      <c r="BI118" s="60"/>
      <c r="BJ118" s="60">
        <v>613</v>
      </c>
      <c r="BK118" s="60">
        <v>261</v>
      </c>
      <c r="BL118" s="60">
        <v>68</v>
      </c>
      <c r="BM118" s="60">
        <v>24</v>
      </c>
      <c r="BN118" s="60"/>
    </row>
    <row r="119" spans="37:66" ht="13.5" x14ac:dyDescent="0.15">
      <c r="AK119" s="80">
        <v>13.9</v>
      </c>
      <c r="AL119" s="97">
        <f t="shared" si="6"/>
        <v>395.5</v>
      </c>
      <c r="AM119" s="119">
        <f t="shared" si="6"/>
        <v>197</v>
      </c>
      <c r="AN119" s="120">
        <f t="shared" si="6"/>
        <v>48.5</v>
      </c>
      <c r="BF119" s="60">
        <v>115</v>
      </c>
      <c r="BG119" s="86">
        <f t="shared" si="4"/>
        <v>1.9166666666666667</v>
      </c>
      <c r="BH119" s="60"/>
      <c r="BI119" s="60"/>
      <c r="BJ119" s="60">
        <v>623</v>
      </c>
      <c r="BK119" s="60">
        <v>265</v>
      </c>
      <c r="BL119" s="60">
        <v>69</v>
      </c>
      <c r="BM119" s="60">
        <v>24</v>
      </c>
      <c r="BN119" s="60"/>
    </row>
    <row r="120" spans="37:66" ht="13.5" x14ac:dyDescent="0.15">
      <c r="AK120" s="95">
        <v>14</v>
      </c>
      <c r="AL120" s="97">
        <f t="shared" si="6"/>
        <v>400.8</v>
      </c>
      <c r="AM120" s="119">
        <f t="shared" si="6"/>
        <v>199.6</v>
      </c>
      <c r="AN120" s="120">
        <f t="shared" si="6"/>
        <v>49.2</v>
      </c>
      <c r="BF120" s="60">
        <v>116</v>
      </c>
      <c r="BG120" s="86">
        <f t="shared" si="4"/>
        <v>1.9333333333333333</v>
      </c>
      <c r="BH120" s="60"/>
      <c r="BI120" s="60"/>
      <c r="BJ120" s="60">
        <v>633</v>
      </c>
      <c r="BK120" s="60">
        <v>269</v>
      </c>
      <c r="BL120" s="60">
        <v>70</v>
      </c>
      <c r="BM120" s="60">
        <v>24</v>
      </c>
      <c r="BN120" s="60"/>
    </row>
    <row r="121" spans="37:66" ht="13.5" x14ac:dyDescent="0.15">
      <c r="AK121" s="80">
        <v>14.1</v>
      </c>
      <c r="AL121" s="97">
        <f t="shared" si="6"/>
        <v>406.1</v>
      </c>
      <c r="AM121" s="119">
        <f t="shared" si="6"/>
        <v>202.3</v>
      </c>
      <c r="AN121" s="120">
        <f t="shared" si="6"/>
        <v>49.8</v>
      </c>
      <c r="BF121" s="60">
        <v>117</v>
      </c>
      <c r="BG121" s="86">
        <f t="shared" si="4"/>
        <v>1.95</v>
      </c>
      <c r="BH121" s="60"/>
      <c r="BI121" s="60"/>
      <c r="BJ121" s="60">
        <v>643</v>
      </c>
      <c r="BK121" s="60">
        <v>273</v>
      </c>
      <c r="BL121" s="60">
        <v>71</v>
      </c>
      <c r="BM121" s="60">
        <v>25</v>
      </c>
      <c r="BN121" s="60"/>
    </row>
    <row r="122" spans="37:66" ht="13.5" x14ac:dyDescent="0.15">
      <c r="AK122" s="95">
        <v>14.2</v>
      </c>
      <c r="AL122" s="97">
        <f t="shared" si="6"/>
        <v>411.4</v>
      </c>
      <c r="AM122" s="119">
        <f t="shared" si="6"/>
        <v>204.9</v>
      </c>
      <c r="AN122" s="120">
        <f t="shared" si="6"/>
        <v>50.5</v>
      </c>
      <c r="BF122" s="60">
        <v>118</v>
      </c>
      <c r="BG122" s="86">
        <f t="shared" si="4"/>
        <v>1.9666666666666666</v>
      </c>
      <c r="BH122" s="60"/>
      <c r="BI122" s="60"/>
      <c r="BJ122" s="60">
        <v>653</v>
      </c>
      <c r="BK122" s="60">
        <v>277</v>
      </c>
      <c r="BL122" s="60">
        <v>72</v>
      </c>
      <c r="BM122" s="60">
        <v>25</v>
      </c>
      <c r="BN122" s="60"/>
    </row>
    <row r="123" spans="37:66" ht="13.5" x14ac:dyDescent="0.15">
      <c r="AK123" s="80">
        <v>14.3</v>
      </c>
      <c r="AL123" s="97">
        <f t="shared" si="6"/>
        <v>416.8</v>
      </c>
      <c r="AM123" s="119">
        <f t="shared" si="6"/>
        <v>207.6</v>
      </c>
      <c r="AN123" s="120">
        <f t="shared" si="6"/>
        <v>51.1</v>
      </c>
      <c r="BF123" s="60">
        <v>119</v>
      </c>
      <c r="BG123" s="86">
        <f t="shared" si="4"/>
        <v>1.9833333333333334</v>
      </c>
      <c r="BH123" s="60"/>
      <c r="BI123" s="60"/>
      <c r="BJ123" s="60">
        <v>663</v>
      </c>
      <c r="BK123" s="60">
        <v>282</v>
      </c>
      <c r="BL123" s="60">
        <v>73</v>
      </c>
      <c r="BM123" s="60">
        <v>26</v>
      </c>
      <c r="BN123" s="60"/>
    </row>
    <row r="124" spans="37:66" ht="13.5" x14ac:dyDescent="0.15">
      <c r="AK124" s="95">
        <v>14.4</v>
      </c>
      <c r="AL124" s="97">
        <f t="shared" si="6"/>
        <v>422.2</v>
      </c>
      <c r="AM124" s="119">
        <f t="shared" si="6"/>
        <v>210.3</v>
      </c>
      <c r="AN124" s="120">
        <f t="shared" si="6"/>
        <v>51.8</v>
      </c>
      <c r="BF124" s="60">
        <v>120</v>
      </c>
      <c r="BG124" s="86">
        <f t="shared" si="4"/>
        <v>2</v>
      </c>
      <c r="BH124" s="60"/>
      <c r="BI124" s="60"/>
      <c r="BJ124" s="60">
        <v>673</v>
      </c>
      <c r="BK124" s="60">
        <v>286</v>
      </c>
      <c r="BL124" s="60">
        <v>74</v>
      </c>
      <c r="BM124" s="60">
        <v>26</v>
      </c>
      <c r="BN124" s="60"/>
    </row>
    <row r="125" spans="37:66" ht="13.5" x14ac:dyDescent="0.15">
      <c r="AK125" s="80">
        <v>14.5</v>
      </c>
      <c r="AL125" s="97">
        <f t="shared" si="6"/>
        <v>427.6</v>
      </c>
      <c r="AM125" s="119">
        <f t="shared" si="6"/>
        <v>213</v>
      </c>
      <c r="AN125" s="120">
        <f t="shared" si="6"/>
        <v>52.5</v>
      </c>
      <c r="BF125" s="60">
        <v>121</v>
      </c>
      <c r="BG125" s="86">
        <f t="shared" si="4"/>
        <v>2.0166666666666666</v>
      </c>
      <c r="BH125" s="60"/>
      <c r="BI125" s="60"/>
      <c r="BJ125" s="60">
        <v>683</v>
      </c>
      <c r="BK125" s="60">
        <v>290</v>
      </c>
      <c r="BL125" s="60">
        <v>75</v>
      </c>
      <c r="BM125" s="60">
        <v>26</v>
      </c>
      <c r="BN125" s="60"/>
    </row>
    <row r="126" spans="37:66" ht="13.5" x14ac:dyDescent="0.15">
      <c r="AK126" s="95">
        <v>14.6</v>
      </c>
      <c r="AL126" s="97">
        <f t="shared" si="6"/>
        <v>433.1</v>
      </c>
      <c r="AM126" s="119">
        <f t="shared" si="6"/>
        <v>215.7</v>
      </c>
      <c r="AN126" s="120">
        <f t="shared" si="6"/>
        <v>53.1</v>
      </c>
      <c r="BF126" s="60">
        <v>122</v>
      </c>
      <c r="BG126" s="86">
        <f t="shared" si="4"/>
        <v>2.0333333333333332</v>
      </c>
      <c r="BH126" s="60"/>
      <c r="BI126" s="60"/>
      <c r="BJ126" s="60">
        <v>694</v>
      </c>
      <c r="BK126" s="60">
        <v>295</v>
      </c>
      <c r="BL126" s="60">
        <v>76</v>
      </c>
      <c r="BM126" s="60">
        <v>27</v>
      </c>
      <c r="BN126" s="60"/>
    </row>
    <row r="127" spans="37:66" ht="13.5" x14ac:dyDescent="0.15">
      <c r="AK127" s="80">
        <v>14.7</v>
      </c>
      <c r="AL127" s="97">
        <f t="shared" si="6"/>
        <v>438.6</v>
      </c>
      <c r="AM127" s="119">
        <f t="shared" si="6"/>
        <v>218.5</v>
      </c>
      <c r="AN127" s="120">
        <f t="shared" si="6"/>
        <v>53.8</v>
      </c>
      <c r="BF127" s="60">
        <v>123</v>
      </c>
      <c r="BG127" s="86">
        <f t="shared" si="4"/>
        <v>2.0499999999999998</v>
      </c>
      <c r="BH127" s="60"/>
      <c r="BI127" s="60"/>
      <c r="BJ127" s="60">
        <v>704</v>
      </c>
      <c r="BK127" s="60">
        <v>299</v>
      </c>
      <c r="BL127" s="60">
        <v>77</v>
      </c>
      <c r="BM127" s="60">
        <v>27</v>
      </c>
      <c r="BN127" s="60"/>
    </row>
    <row r="128" spans="37:66" ht="13.5" x14ac:dyDescent="0.15">
      <c r="AK128" s="95">
        <v>14.8</v>
      </c>
      <c r="AL128" s="97">
        <f t="shared" si="6"/>
        <v>444.1</v>
      </c>
      <c r="AM128" s="119">
        <f t="shared" si="6"/>
        <v>221.2</v>
      </c>
      <c r="AN128" s="120">
        <f t="shared" si="6"/>
        <v>54.5</v>
      </c>
      <c r="BF128" s="60">
        <v>124</v>
      </c>
      <c r="BG128" s="86">
        <f t="shared" si="4"/>
        <v>2.0666666666666669</v>
      </c>
      <c r="BH128" s="60"/>
      <c r="BI128" s="60"/>
      <c r="BJ128" s="60">
        <v>714</v>
      </c>
      <c r="BK128" s="60">
        <v>303</v>
      </c>
      <c r="BL128" s="60">
        <v>79</v>
      </c>
      <c r="BM128" s="60">
        <v>27</v>
      </c>
      <c r="BN128" s="60"/>
    </row>
    <row r="129" spans="37:66" ht="13.5" x14ac:dyDescent="0.15">
      <c r="AK129" s="80">
        <v>14.9</v>
      </c>
      <c r="AL129" s="97">
        <f t="shared" si="6"/>
        <v>449.7</v>
      </c>
      <c r="AM129" s="119">
        <f t="shared" si="6"/>
        <v>224</v>
      </c>
      <c r="AN129" s="120">
        <f t="shared" si="6"/>
        <v>55.2</v>
      </c>
      <c r="BF129" s="60">
        <v>125</v>
      </c>
      <c r="BG129" s="86">
        <f t="shared" si="4"/>
        <v>2.0833333333333335</v>
      </c>
      <c r="BH129" s="60"/>
      <c r="BI129" s="60"/>
      <c r="BJ129" s="60">
        <v>725</v>
      </c>
      <c r="BK129" s="60">
        <v>308</v>
      </c>
      <c r="BL129" s="60">
        <v>80</v>
      </c>
      <c r="BM129" s="60">
        <v>28</v>
      </c>
      <c r="BN129" s="60"/>
    </row>
    <row r="130" spans="37:66" ht="13.5" x14ac:dyDescent="0.15">
      <c r="AK130" s="95">
        <v>15</v>
      </c>
      <c r="AL130" s="97">
        <f t="shared" si="6"/>
        <v>455.3</v>
      </c>
      <c r="AM130" s="119">
        <f t="shared" si="6"/>
        <v>226.8</v>
      </c>
      <c r="AN130" s="120">
        <f t="shared" si="6"/>
        <v>55.9</v>
      </c>
      <c r="BF130" s="60">
        <v>126</v>
      </c>
      <c r="BG130" s="86">
        <f t="shared" si="4"/>
        <v>2.1</v>
      </c>
      <c r="BH130" s="60"/>
      <c r="BI130" s="60"/>
      <c r="BJ130" s="60">
        <v>736</v>
      </c>
      <c r="BK130" s="60">
        <v>312</v>
      </c>
      <c r="BL130" s="60">
        <v>81</v>
      </c>
      <c r="BM130" s="60">
        <v>28</v>
      </c>
      <c r="BN130" s="60"/>
    </row>
    <row r="131" spans="37:66" ht="13.5" x14ac:dyDescent="0.15">
      <c r="AK131" s="80">
        <v>15.1</v>
      </c>
      <c r="AL131" s="97">
        <f t="shared" si="6"/>
        <v>460.9</v>
      </c>
      <c r="AM131" s="119">
        <f t="shared" si="6"/>
        <v>229.6</v>
      </c>
      <c r="AN131" s="120">
        <f t="shared" si="6"/>
        <v>56.6</v>
      </c>
      <c r="BF131" s="60">
        <v>127</v>
      </c>
      <c r="BG131" s="86">
        <f t="shared" si="4"/>
        <v>2.1166666666666667</v>
      </c>
      <c r="BH131" s="60"/>
      <c r="BI131" s="60"/>
      <c r="BJ131" s="60">
        <v>746</v>
      </c>
      <c r="BK131" s="60">
        <v>317</v>
      </c>
      <c r="BL131" s="60">
        <v>82</v>
      </c>
      <c r="BM131" s="60">
        <v>29</v>
      </c>
      <c r="BN131" s="60"/>
    </row>
    <row r="132" spans="37:66" ht="13.5" x14ac:dyDescent="0.15">
      <c r="AK132" s="95">
        <v>15.2</v>
      </c>
      <c r="AL132" s="97">
        <f t="shared" si="6"/>
        <v>466.6</v>
      </c>
      <c r="AM132" s="119">
        <f t="shared" si="6"/>
        <v>232.4</v>
      </c>
      <c r="AN132" s="120">
        <f t="shared" si="6"/>
        <v>57.3</v>
      </c>
      <c r="BF132" s="60">
        <v>128</v>
      </c>
      <c r="BG132" s="86">
        <f t="shared" si="4"/>
        <v>2.1333333333333333</v>
      </c>
      <c r="BH132" s="60"/>
      <c r="BI132" s="60"/>
      <c r="BJ132" s="60">
        <v>757</v>
      </c>
      <c r="BK132" s="60">
        <v>321</v>
      </c>
      <c r="BL132" s="60">
        <v>83</v>
      </c>
      <c r="BM132" s="60">
        <v>29</v>
      </c>
      <c r="BN132" s="60"/>
    </row>
    <row r="133" spans="37:66" ht="13.5" x14ac:dyDescent="0.15">
      <c r="AK133" s="80">
        <v>15.3</v>
      </c>
      <c r="AL133" s="97">
        <f t="shared" si="6"/>
        <v>472.3</v>
      </c>
      <c r="AM133" s="119">
        <f t="shared" si="6"/>
        <v>235.3</v>
      </c>
      <c r="AN133" s="120">
        <f t="shared" si="6"/>
        <v>58</v>
      </c>
      <c r="BF133" s="60">
        <v>129</v>
      </c>
      <c r="BG133" s="86">
        <f t="shared" ref="BG133:BG196" si="7">BF133/60</f>
        <v>2.15</v>
      </c>
      <c r="BH133" s="60"/>
      <c r="BI133" s="60"/>
      <c r="BJ133" s="60">
        <v>768</v>
      </c>
      <c r="BK133" s="60">
        <v>326</v>
      </c>
      <c r="BL133" s="60">
        <v>84</v>
      </c>
      <c r="BM133" s="60">
        <v>29</v>
      </c>
      <c r="BN133" s="60"/>
    </row>
    <row r="134" spans="37:66" ht="13.5" x14ac:dyDescent="0.15">
      <c r="AK134" s="95">
        <v>15.4</v>
      </c>
      <c r="AL134" s="97">
        <f t="shared" si="6"/>
        <v>478</v>
      </c>
      <c r="AM134" s="119">
        <f t="shared" si="6"/>
        <v>238.1</v>
      </c>
      <c r="AN134" s="120">
        <f t="shared" si="6"/>
        <v>58.7</v>
      </c>
      <c r="BF134" s="60">
        <v>130</v>
      </c>
      <c r="BG134" s="86">
        <f t="shared" si="7"/>
        <v>2.1666666666666665</v>
      </c>
      <c r="BH134" s="60"/>
      <c r="BI134" s="60"/>
      <c r="BJ134" s="60">
        <v>779</v>
      </c>
      <c r="BK134" s="60">
        <v>330</v>
      </c>
      <c r="BL134" s="60">
        <v>85</v>
      </c>
      <c r="BM134" s="60">
        <v>30</v>
      </c>
      <c r="BN134" s="60"/>
    </row>
    <row r="135" spans="37:66" ht="13.5" x14ac:dyDescent="0.15">
      <c r="AK135" s="80">
        <v>15.5</v>
      </c>
      <c r="AL135" s="97">
        <f t="shared" si="6"/>
        <v>483.8</v>
      </c>
      <c r="AM135" s="119">
        <f t="shared" si="6"/>
        <v>241</v>
      </c>
      <c r="AN135" s="120">
        <f t="shared" si="6"/>
        <v>59.4</v>
      </c>
      <c r="BF135" s="60">
        <v>131</v>
      </c>
      <c r="BG135" s="86">
        <f t="shared" si="7"/>
        <v>2.1833333333333331</v>
      </c>
      <c r="BH135" s="60"/>
      <c r="BI135" s="60"/>
      <c r="BJ135" s="60">
        <v>790</v>
      </c>
      <c r="BK135" s="60">
        <v>335</v>
      </c>
      <c r="BL135" s="60">
        <v>87</v>
      </c>
      <c r="BM135" s="60">
        <v>30</v>
      </c>
      <c r="BN135" s="60"/>
    </row>
    <row r="136" spans="37:66" ht="13.5" x14ac:dyDescent="0.15">
      <c r="AK136" s="95">
        <v>15.6</v>
      </c>
      <c r="AL136" s="97">
        <f t="shared" si="6"/>
        <v>489.6</v>
      </c>
      <c r="AM136" s="119">
        <f t="shared" si="6"/>
        <v>243.9</v>
      </c>
      <c r="AN136" s="120">
        <f t="shared" si="6"/>
        <v>60.1</v>
      </c>
      <c r="BF136" s="60">
        <v>132</v>
      </c>
      <c r="BG136" s="86">
        <f t="shared" si="7"/>
        <v>2.2000000000000002</v>
      </c>
      <c r="BH136" s="60"/>
      <c r="BI136" s="60"/>
      <c r="BJ136" s="60">
        <v>801</v>
      </c>
      <c r="BK136" s="60">
        <v>340</v>
      </c>
      <c r="BL136" s="60">
        <v>88</v>
      </c>
      <c r="BM136" s="60">
        <v>31</v>
      </c>
      <c r="BN136" s="60"/>
    </row>
    <row r="137" spans="37:66" ht="14.25" thickBot="1" x14ac:dyDescent="0.2">
      <c r="AK137" s="80">
        <v>15.7</v>
      </c>
      <c r="AL137" s="97">
        <f t="shared" si="6"/>
        <v>495.4</v>
      </c>
      <c r="AM137" s="119">
        <f t="shared" si="6"/>
        <v>246.8</v>
      </c>
      <c r="AN137" s="122">
        <f t="shared" si="6"/>
        <v>60.8</v>
      </c>
      <c r="BF137" s="60">
        <v>133</v>
      </c>
      <c r="BG137" s="86">
        <f t="shared" si="7"/>
        <v>2.2166666666666668</v>
      </c>
      <c r="BH137" s="60"/>
      <c r="BI137" s="60"/>
      <c r="BJ137" s="60">
        <v>812</v>
      </c>
      <c r="BK137" s="60">
        <v>344</v>
      </c>
      <c r="BL137" s="60">
        <v>89</v>
      </c>
      <c r="BM137" s="60">
        <v>31</v>
      </c>
      <c r="BN137" s="60"/>
    </row>
    <row r="138" spans="37:66" ht="13.5" x14ac:dyDescent="0.15">
      <c r="AK138" s="95">
        <v>15.8</v>
      </c>
      <c r="AL138" s="97">
        <f t="shared" si="6"/>
        <v>501.2</v>
      </c>
      <c r="AM138" s="97">
        <f t="shared" si="6"/>
        <v>249.7</v>
      </c>
      <c r="AN138" s="123">
        <f t="shared" si="6"/>
        <v>61.5</v>
      </c>
      <c r="BF138" s="60">
        <v>134</v>
      </c>
      <c r="BG138" s="86">
        <f t="shared" si="7"/>
        <v>2.2333333333333334</v>
      </c>
      <c r="BH138" s="60"/>
      <c r="BI138" s="60"/>
      <c r="BJ138" s="60">
        <v>823</v>
      </c>
      <c r="BK138" s="60">
        <v>349</v>
      </c>
      <c r="BL138" s="60">
        <v>90</v>
      </c>
      <c r="BM138" s="60">
        <v>31</v>
      </c>
      <c r="BN138" s="60"/>
    </row>
    <row r="139" spans="37:66" x14ac:dyDescent="0.15">
      <c r="BF139" s="60">
        <v>135</v>
      </c>
      <c r="BG139" s="86">
        <f t="shared" si="7"/>
        <v>2.25</v>
      </c>
      <c r="BH139" s="60"/>
      <c r="BI139" s="60"/>
      <c r="BJ139" s="60">
        <v>834</v>
      </c>
      <c r="BK139" s="60">
        <v>354</v>
      </c>
      <c r="BL139" s="60">
        <v>91</v>
      </c>
      <c r="BM139" s="60">
        <v>32</v>
      </c>
      <c r="BN139" s="60"/>
    </row>
    <row r="140" spans="37:66" x14ac:dyDescent="0.15">
      <c r="BF140" s="60">
        <v>136</v>
      </c>
      <c r="BG140" s="86">
        <f t="shared" si="7"/>
        <v>2.2666666666666666</v>
      </c>
      <c r="BH140" s="60"/>
      <c r="BI140" s="60"/>
      <c r="BJ140" s="60">
        <v>845</v>
      </c>
      <c r="BK140" s="60">
        <v>358</v>
      </c>
      <c r="BL140" s="60">
        <v>93</v>
      </c>
      <c r="BM140" s="60">
        <v>32</v>
      </c>
      <c r="BN140" s="60"/>
    </row>
    <row r="141" spans="37:66" x14ac:dyDescent="0.15">
      <c r="BF141" s="60">
        <v>137</v>
      </c>
      <c r="BG141" s="86">
        <f t="shared" si="7"/>
        <v>2.2833333333333332</v>
      </c>
      <c r="BH141" s="60"/>
      <c r="BI141" s="60"/>
      <c r="BJ141" s="60">
        <v>857</v>
      </c>
      <c r="BK141" s="60">
        <v>363</v>
      </c>
      <c r="BL141" s="60">
        <v>94</v>
      </c>
      <c r="BM141" s="60">
        <v>33</v>
      </c>
      <c r="BN141" s="60"/>
    </row>
    <row r="142" spans="37:66" x14ac:dyDescent="0.15">
      <c r="BF142" s="60">
        <v>138</v>
      </c>
      <c r="BG142" s="86">
        <f t="shared" si="7"/>
        <v>2.2999999999999998</v>
      </c>
      <c r="BH142" s="60"/>
      <c r="BI142" s="60"/>
      <c r="BJ142" s="60">
        <v>868</v>
      </c>
      <c r="BK142" s="60">
        <v>368</v>
      </c>
      <c r="BL142" s="60">
        <v>95</v>
      </c>
      <c r="BM142" s="60">
        <v>33</v>
      </c>
      <c r="BN142" s="60"/>
    </row>
    <row r="143" spans="37:66" x14ac:dyDescent="0.15">
      <c r="BF143" s="60">
        <v>139</v>
      </c>
      <c r="BG143" s="86">
        <f t="shared" si="7"/>
        <v>2.3166666666666669</v>
      </c>
      <c r="BH143" s="60"/>
      <c r="BI143" s="60"/>
      <c r="BJ143" s="60">
        <v>880</v>
      </c>
      <c r="BK143" s="60">
        <v>373</v>
      </c>
      <c r="BL143" s="60">
        <v>96</v>
      </c>
      <c r="BM143" s="60">
        <v>34</v>
      </c>
      <c r="BN143" s="60"/>
    </row>
    <row r="144" spans="37:66" x14ac:dyDescent="0.15">
      <c r="BF144" s="60">
        <v>140</v>
      </c>
      <c r="BG144" s="86">
        <f t="shared" si="7"/>
        <v>2.3333333333333335</v>
      </c>
      <c r="BH144" s="60"/>
      <c r="BI144" s="60"/>
      <c r="BJ144" s="60">
        <v>891</v>
      </c>
      <c r="BK144" s="60">
        <v>378</v>
      </c>
      <c r="BL144" s="60">
        <v>98</v>
      </c>
      <c r="BM144" s="60">
        <v>34</v>
      </c>
      <c r="BN144" s="60"/>
    </row>
    <row r="145" spans="58:66" x14ac:dyDescent="0.15">
      <c r="BF145" s="60">
        <v>141</v>
      </c>
      <c r="BG145" s="86">
        <f t="shared" si="7"/>
        <v>2.35</v>
      </c>
      <c r="BH145" s="60"/>
      <c r="BI145" s="60"/>
      <c r="BJ145" s="60">
        <v>903</v>
      </c>
      <c r="BK145" s="60">
        <v>383</v>
      </c>
      <c r="BL145" s="60">
        <v>99</v>
      </c>
      <c r="BM145" s="60">
        <v>34</v>
      </c>
      <c r="BN145" s="60"/>
    </row>
    <row r="146" spans="58:66" x14ac:dyDescent="0.15">
      <c r="BF146" s="60">
        <v>142</v>
      </c>
      <c r="BG146" s="86">
        <f t="shared" si="7"/>
        <v>2.3666666666666667</v>
      </c>
      <c r="BH146" s="60"/>
      <c r="BI146" s="60"/>
      <c r="BJ146" s="60">
        <v>915</v>
      </c>
      <c r="BK146" s="60">
        <v>387</v>
      </c>
      <c r="BL146" s="60">
        <v>100</v>
      </c>
      <c r="BM146" s="60">
        <v>35</v>
      </c>
      <c r="BN146" s="60"/>
    </row>
    <row r="147" spans="58:66" x14ac:dyDescent="0.15">
      <c r="BF147" s="60">
        <v>143</v>
      </c>
      <c r="BG147" s="86">
        <f t="shared" si="7"/>
        <v>2.3833333333333333</v>
      </c>
      <c r="BH147" s="60"/>
      <c r="BI147" s="60"/>
      <c r="BJ147" s="60">
        <v>927</v>
      </c>
      <c r="BK147" s="60">
        <v>392</v>
      </c>
      <c r="BL147" s="60">
        <v>101</v>
      </c>
      <c r="BM147" s="60">
        <v>35</v>
      </c>
      <c r="BN147" s="60"/>
    </row>
    <row r="148" spans="58:66" x14ac:dyDescent="0.15">
      <c r="BF148" s="60">
        <v>144</v>
      </c>
      <c r="BG148" s="86">
        <f t="shared" si="7"/>
        <v>2.4</v>
      </c>
      <c r="BH148" s="60"/>
      <c r="BI148" s="60"/>
      <c r="BJ148" s="60">
        <v>938</v>
      </c>
      <c r="BK148" s="60">
        <v>397</v>
      </c>
      <c r="BL148" s="60">
        <v>103</v>
      </c>
      <c r="BM148" s="60">
        <v>36</v>
      </c>
      <c r="BN148" s="60"/>
    </row>
    <row r="149" spans="58:66" x14ac:dyDescent="0.15">
      <c r="BF149" s="60">
        <v>145</v>
      </c>
      <c r="BG149" s="86">
        <f t="shared" si="7"/>
        <v>2.4166666666666665</v>
      </c>
      <c r="BH149" s="60"/>
      <c r="BI149" s="60"/>
      <c r="BJ149" s="60">
        <v>950</v>
      </c>
      <c r="BK149" s="60">
        <v>402</v>
      </c>
      <c r="BL149" s="60">
        <v>104</v>
      </c>
      <c r="BM149" s="60">
        <v>36</v>
      </c>
      <c r="BN149" s="60"/>
    </row>
    <row r="150" spans="58:66" x14ac:dyDescent="0.15">
      <c r="BF150" s="60">
        <v>146</v>
      </c>
      <c r="BG150" s="86">
        <f t="shared" si="7"/>
        <v>2.4333333333333331</v>
      </c>
      <c r="BH150" s="60"/>
      <c r="BI150" s="60"/>
      <c r="BJ150" s="60">
        <v>962</v>
      </c>
      <c r="BK150" s="60">
        <v>407</v>
      </c>
      <c r="BL150" s="60">
        <v>105</v>
      </c>
      <c r="BM150" s="60">
        <v>37</v>
      </c>
      <c r="BN150" s="60"/>
    </row>
    <row r="151" spans="58:66" x14ac:dyDescent="0.15">
      <c r="BF151" s="60">
        <v>147</v>
      </c>
      <c r="BG151" s="86">
        <f t="shared" si="7"/>
        <v>2.4500000000000002</v>
      </c>
      <c r="BH151" s="60"/>
      <c r="BI151" s="60"/>
      <c r="BJ151" s="60">
        <v>974</v>
      </c>
      <c r="BK151" s="60">
        <v>412</v>
      </c>
      <c r="BL151" s="60">
        <v>106</v>
      </c>
      <c r="BM151" s="60">
        <v>37</v>
      </c>
      <c r="BN151" s="60"/>
    </row>
    <row r="152" spans="58:66" x14ac:dyDescent="0.15">
      <c r="BF152" s="60">
        <v>148</v>
      </c>
      <c r="BG152" s="86">
        <f t="shared" si="7"/>
        <v>2.4666666666666668</v>
      </c>
      <c r="BH152" s="60"/>
      <c r="BI152" s="60"/>
      <c r="BJ152" s="60">
        <v>987</v>
      </c>
      <c r="BK152" s="60">
        <v>418</v>
      </c>
      <c r="BL152" s="60">
        <v>108</v>
      </c>
      <c r="BM152" s="60">
        <v>37</v>
      </c>
      <c r="BN152" s="60"/>
    </row>
    <row r="153" spans="58:66" x14ac:dyDescent="0.15">
      <c r="BF153" s="60">
        <v>149</v>
      </c>
      <c r="BG153" s="86">
        <f t="shared" si="7"/>
        <v>2.4833333333333334</v>
      </c>
      <c r="BH153" s="60"/>
      <c r="BI153" s="60"/>
      <c r="BJ153" s="60">
        <v>999</v>
      </c>
      <c r="BK153" s="60">
        <v>423</v>
      </c>
      <c r="BL153" s="60">
        <v>109</v>
      </c>
      <c r="BM153" s="60">
        <v>38</v>
      </c>
      <c r="BN153" s="60"/>
    </row>
    <row r="154" spans="58:66" x14ac:dyDescent="0.15">
      <c r="BF154" s="60">
        <v>150</v>
      </c>
      <c r="BG154" s="86">
        <f t="shared" si="7"/>
        <v>2.5</v>
      </c>
      <c r="BH154" s="60"/>
      <c r="BI154" s="60"/>
      <c r="BJ154" s="60">
        <v>1011</v>
      </c>
      <c r="BK154" s="60">
        <v>428</v>
      </c>
      <c r="BL154" s="60">
        <v>110</v>
      </c>
      <c r="BM154" s="60">
        <v>38</v>
      </c>
      <c r="BN154" s="60">
        <v>8</v>
      </c>
    </row>
    <row r="155" spans="58:66" x14ac:dyDescent="0.15">
      <c r="BF155" s="60">
        <v>151</v>
      </c>
      <c r="BG155" s="86">
        <f t="shared" si="7"/>
        <v>2.5166666666666666</v>
      </c>
      <c r="BH155" s="60"/>
      <c r="BI155" s="60"/>
      <c r="BJ155" s="60">
        <v>1024</v>
      </c>
      <c r="BK155" s="60">
        <v>433</v>
      </c>
      <c r="BL155" s="60">
        <v>112</v>
      </c>
      <c r="BM155" s="60">
        <v>39</v>
      </c>
      <c r="BN155" s="60"/>
    </row>
    <row r="156" spans="58:66" x14ac:dyDescent="0.15">
      <c r="BF156" s="60">
        <v>152</v>
      </c>
      <c r="BG156" s="86">
        <f t="shared" si="7"/>
        <v>2.5333333333333332</v>
      </c>
      <c r="BH156" s="60"/>
      <c r="BI156" s="60"/>
      <c r="BJ156" s="60">
        <v>1036</v>
      </c>
      <c r="BK156" s="60">
        <v>438</v>
      </c>
      <c r="BL156" s="60">
        <v>113</v>
      </c>
      <c r="BM156" s="60">
        <v>39</v>
      </c>
      <c r="BN156" s="60"/>
    </row>
    <row r="157" spans="58:66" x14ac:dyDescent="0.15">
      <c r="BF157" s="60">
        <v>153</v>
      </c>
      <c r="BG157" s="86">
        <f t="shared" si="7"/>
        <v>2.5499999999999998</v>
      </c>
      <c r="BH157" s="60"/>
      <c r="BI157" s="60"/>
      <c r="BJ157" s="60">
        <v>1048</v>
      </c>
      <c r="BK157" s="60">
        <v>444</v>
      </c>
      <c r="BL157" s="60">
        <v>114</v>
      </c>
      <c r="BM157" s="60">
        <v>40</v>
      </c>
      <c r="BN157" s="60"/>
    </row>
    <row r="158" spans="58:66" x14ac:dyDescent="0.15">
      <c r="BF158" s="60">
        <v>154</v>
      </c>
      <c r="BG158" s="86">
        <f t="shared" si="7"/>
        <v>2.5666666666666669</v>
      </c>
      <c r="BH158" s="60"/>
      <c r="BI158" s="60"/>
      <c r="BJ158" s="60">
        <v>1061</v>
      </c>
      <c r="BK158" s="60">
        <v>449</v>
      </c>
      <c r="BL158" s="60">
        <v>116</v>
      </c>
      <c r="BM158" s="60">
        <v>40</v>
      </c>
      <c r="BN158" s="60"/>
    </row>
    <row r="159" spans="58:66" x14ac:dyDescent="0.15">
      <c r="BF159" s="60">
        <v>155</v>
      </c>
      <c r="BG159" s="86">
        <f t="shared" si="7"/>
        <v>2.5833333333333335</v>
      </c>
      <c r="BH159" s="60"/>
      <c r="BI159" s="60"/>
      <c r="BJ159" s="60">
        <v>1074</v>
      </c>
      <c r="BK159" s="60">
        <v>454</v>
      </c>
      <c r="BL159" s="60">
        <v>117</v>
      </c>
      <c r="BM159" s="60">
        <v>41</v>
      </c>
      <c r="BN159" s="60"/>
    </row>
    <row r="160" spans="58:66" x14ac:dyDescent="0.15">
      <c r="BF160" s="60">
        <v>156</v>
      </c>
      <c r="BG160" s="86">
        <f t="shared" si="7"/>
        <v>2.6</v>
      </c>
      <c r="BH160" s="60"/>
      <c r="BI160" s="60"/>
      <c r="BJ160" s="60">
        <v>1086</v>
      </c>
      <c r="BK160" s="60">
        <v>459</v>
      </c>
      <c r="BL160" s="60">
        <v>118</v>
      </c>
      <c r="BM160" s="60">
        <v>41</v>
      </c>
      <c r="BN160" s="60">
        <v>9</v>
      </c>
    </row>
    <row r="161" spans="58:66" x14ac:dyDescent="0.15">
      <c r="BF161" s="60">
        <v>157</v>
      </c>
      <c r="BG161" s="86">
        <f t="shared" si="7"/>
        <v>2.6166666666666667</v>
      </c>
      <c r="BH161" s="60"/>
      <c r="BI161" s="60"/>
      <c r="BJ161" s="60">
        <v>1099</v>
      </c>
      <c r="BK161" s="60">
        <v>465</v>
      </c>
      <c r="BL161" s="60">
        <v>120</v>
      </c>
      <c r="BM161" s="60">
        <v>42</v>
      </c>
      <c r="BN161" s="60"/>
    </row>
    <row r="162" spans="58:66" x14ac:dyDescent="0.15">
      <c r="BF162" s="60">
        <v>158</v>
      </c>
      <c r="BG162" s="86">
        <f t="shared" si="7"/>
        <v>2.6333333333333333</v>
      </c>
      <c r="BH162" s="60"/>
      <c r="BI162" s="60"/>
      <c r="BJ162" s="60">
        <v>1112</v>
      </c>
      <c r="BK162" s="60">
        <v>470</v>
      </c>
      <c r="BL162" s="60">
        <v>121</v>
      </c>
      <c r="BM162" s="60">
        <v>42</v>
      </c>
      <c r="BN162" s="60"/>
    </row>
    <row r="163" spans="58:66" x14ac:dyDescent="0.15">
      <c r="BF163" s="60">
        <v>159</v>
      </c>
      <c r="BG163" s="86">
        <f t="shared" si="7"/>
        <v>2.65</v>
      </c>
      <c r="BH163" s="60"/>
      <c r="BI163" s="60"/>
      <c r="BJ163" s="60">
        <v>1125</v>
      </c>
      <c r="BK163" s="60">
        <v>476</v>
      </c>
      <c r="BL163" s="60">
        <v>122</v>
      </c>
      <c r="BM163" s="60">
        <v>43</v>
      </c>
      <c r="BN163" s="60"/>
    </row>
    <row r="164" spans="58:66" x14ac:dyDescent="0.15">
      <c r="BF164" s="60">
        <v>160</v>
      </c>
      <c r="BG164" s="86">
        <f t="shared" si="7"/>
        <v>2.6666666666666665</v>
      </c>
      <c r="BH164" s="60"/>
      <c r="BI164" s="60"/>
      <c r="BJ164" s="60">
        <v>1138</v>
      </c>
      <c r="BK164" s="60">
        <v>481</v>
      </c>
      <c r="BL164" s="60">
        <v>124</v>
      </c>
      <c r="BM164" s="60">
        <v>43</v>
      </c>
      <c r="BN164" s="60"/>
    </row>
    <row r="165" spans="58:66" x14ac:dyDescent="0.15">
      <c r="BF165" s="60">
        <v>161</v>
      </c>
      <c r="BG165" s="86">
        <f t="shared" si="7"/>
        <v>2.6833333333333331</v>
      </c>
      <c r="BH165" s="60"/>
      <c r="BI165" s="60"/>
      <c r="BJ165" s="60">
        <v>1151</v>
      </c>
      <c r="BK165" s="60">
        <v>487</v>
      </c>
      <c r="BL165" s="60">
        <v>125</v>
      </c>
      <c r="BM165" s="60">
        <v>44</v>
      </c>
      <c r="BN165" s="60"/>
    </row>
    <row r="166" spans="58:66" x14ac:dyDescent="0.15">
      <c r="BF166" s="60">
        <v>162</v>
      </c>
      <c r="BG166" s="86">
        <f t="shared" si="7"/>
        <v>2.7</v>
      </c>
      <c r="BH166" s="60"/>
      <c r="BI166" s="60"/>
      <c r="BJ166" s="60">
        <v>1164</v>
      </c>
      <c r="BK166" s="60">
        <v>492</v>
      </c>
      <c r="BL166" s="60">
        <v>127</v>
      </c>
      <c r="BM166" s="60">
        <v>44</v>
      </c>
      <c r="BN166" s="60">
        <v>9</v>
      </c>
    </row>
    <row r="167" spans="58:66" x14ac:dyDescent="0.15">
      <c r="BF167" s="60">
        <v>163</v>
      </c>
      <c r="BG167" s="86">
        <f t="shared" si="7"/>
        <v>2.7166666666666668</v>
      </c>
      <c r="BH167" s="60"/>
      <c r="BI167" s="60"/>
      <c r="BJ167" s="60">
        <v>1177</v>
      </c>
      <c r="BK167" s="60">
        <v>498</v>
      </c>
      <c r="BL167" s="60">
        <v>128</v>
      </c>
      <c r="BM167" s="60">
        <v>44</v>
      </c>
      <c r="BN167" s="60"/>
    </row>
    <row r="168" spans="58:66" x14ac:dyDescent="0.15">
      <c r="BF168" s="60">
        <v>164</v>
      </c>
      <c r="BG168" s="86">
        <f t="shared" si="7"/>
        <v>2.7333333333333334</v>
      </c>
      <c r="BH168" s="60"/>
      <c r="BI168" s="60"/>
      <c r="BJ168" s="60">
        <v>1191</v>
      </c>
      <c r="BK168" s="60">
        <v>503</v>
      </c>
      <c r="BL168" s="60">
        <v>129</v>
      </c>
      <c r="BM168" s="60">
        <v>45</v>
      </c>
      <c r="BN168" s="60"/>
    </row>
    <row r="169" spans="58:66" x14ac:dyDescent="0.15">
      <c r="BF169" s="60">
        <v>165</v>
      </c>
      <c r="BG169" s="86">
        <f t="shared" si="7"/>
        <v>2.75</v>
      </c>
      <c r="BH169" s="60"/>
      <c r="BI169" s="60"/>
      <c r="BJ169" s="60">
        <v>1204</v>
      </c>
      <c r="BK169" s="60">
        <v>509</v>
      </c>
      <c r="BL169" s="60">
        <v>131</v>
      </c>
      <c r="BM169" s="60">
        <v>45</v>
      </c>
      <c r="BN169" s="60"/>
    </row>
    <row r="170" spans="58:66" x14ac:dyDescent="0.15">
      <c r="BF170" s="60">
        <v>166</v>
      </c>
      <c r="BG170" s="86">
        <f t="shared" si="7"/>
        <v>2.7666666666666666</v>
      </c>
      <c r="BH170" s="60"/>
      <c r="BI170" s="60"/>
      <c r="BJ170" s="60">
        <v>1218</v>
      </c>
      <c r="BK170" s="60">
        <v>514</v>
      </c>
      <c r="BL170" s="60">
        <v>132</v>
      </c>
      <c r="BM170" s="60">
        <v>46</v>
      </c>
      <c r="BN170" s="60"/>
    </row>
    <row r="171" spans="58:66" x14ac:dyDescent="0.15">
      <c r="BF171" s="60">
        <v>167</v>
      </c>
      <c r="BG171" s="86">
        <f t="shared" si="7"/>
        <v>2.7833333333333332</v>
      </c>
      <c r="BH171" s="60"/>
      <c r="BI171" s="60"/>
      <c r="BJ171" s="60">
        <v>1231</v>
      </c>
      <c r="BK171" s="60">
        <v>520</v>
      </c>
      <c r="BL171" s="60">
        <v>134</v>
      </c>
      <c r="BM171" s="60">
        <v>46</v>
      </c>
      <c r="BN171" s="60"/>
    </row>
    <row r="172" spans="58:66" x14ac:dyDescent="0.15">
      <c r="BF172" s="60">
        <v>168</v>
      </c>
      <c r="BG172" s="86">
        <f t="shared" si="7"/>
        <v>2.8</v>
      </c>
      <c r="BH172" s="60"/>
      <c r="BI172" s="60"/>
      <c r="BJ172" s="60">
        <v>1245</v>
      </c>
      <c r="BK172" s="60">
        <v>526</v>
      </c>
      <c r="BL172" s="60">
        <v>135</v>
      </c>
      <c r="BM172" s="60">
        <v>47</v>
      </c>
      <c r="BN172" s="60">
        <v>10</v>
      </c>
    </row>
    <row r="173" spans="58:66" x14ac:dyDescent="0.15">
      <c r="BF173" s="60">
        <v>169</v>
      </c>
      <c r="BG173" s="86">
        <f t="shared" si="7"/>
        <v>2.8166666666666669</v>
      </c>
      <c r="BH173" s="60"/>
      <c r="BI173" s="60"/>
      <c r="BJ173" s="60">
        <v>1258</v>
      </c>
      <c r="BK173" s="60">
        <v>531</v>
      </c>
      <c r="BL173" s="60">
        <v>137</v>
      </c>
      <c r="BM173" s="60">
        <v>47</v>
      </c>
      <c r="BN173" s="60"/>
    </row>
    <row r="174" spans="58:66" x14ac:dyDescent="0.15">
      <c r="BF174" s="60">
        <v>170</v>
      </c>
      <c r="BG174" s="86">
        <f t="shared" si="7"/>
        <v>2.8333333333333335</v>
      </c>
      <c r="BH174" s="60"/>
      <c r="BI174" s="60"/>
      <c r="BJ174" s="60">
        <v>1272</v>
      </c>
      <c r="BK174" s="60">
        <v>537</v>
      </c>
      <c r="BL174" s="60">
        <v>138</v>
      </c>
      <c r="BM174" s="60">
        <v>48</v>
      </c>
      <c r="BN174" s="60"/>
    </row>
    <row r="175" spans="58:66" x14ac:dyDescent="0.15">
      <c r="BF175" s="60">
        <v>171</v>
      </c>
      <c r="BG175" s="86">
        <f t="shared" si="7"/>
        <v>2.85</v>
      </c>
      <c r="BH175" s="60"/>
      <c r="BI175" s="60"/>
      <c r="BJ175" s="60">
        <v>1286</v>
      </c>
      <c r="BK175" s="60">
        <v>543</v>
      </c>
      <c r="BL175" s="60">
        <v>139</v>
      </c>
      <c r="BM175" s="60">
        <v>48</v>
      </c>
      <c r="BN175" s="60"/>
    </row>
    <row r="176" spans="58:66" x14ac:dyDescent="0.15">
      <c r="BF176" s="60">
        <v>172</v>
      </c>
      <c r="BG176" s="86">
        <f t="shared" si="7"/>
        <v>2.8666666666666667</v>
      </c>
      <c r="BH176" s="60"/>
      <c r="BI176" s="60"/>
      <c r="BJ176" s="60">
        <v>1300</v>
      </c>
      <c r="BK176" s="60">
        <v>549</v>
      </c>
      <c r="BL176" s="60">
        <v>141</v>
      </c>
      <c r="BM176" s="60">
        <v>49</v>
      </c>
      <c r="BN176" s="60"/>
    </row>
    <row r="177" spans="58:66" x14ac:dyDescent="0.15">
      <c r="BF177" s="60">
        <v>173</v>
      </c>
      <c r="BG177" s="86">
        <f t="shared" si="7"/>
        <v>2.8833333333333333</v>
      </c>
      <c r="BH177" s="60"/>
      <c r="BI177" s="60"/>
      <c r="BJ177" s="60">
        <v>1313</v>
      </c>
      <c r="BK177" s="60">
        <v>555</v>
      </c>
      <c r="BL177" s="60">
        <v>142</v>
      </c>
      <c r="BM177" s="60">
        <v>49</v>
      </c>
      <c r="BN177" s="60"/>
    </row>
    <row r="178" spans="58:66" x14ac:dyDescent="0.15">
      <c r="BF178" s="60">
        <v>174</v>
      </c>
      <c r="BG178" s="86">
        <f t="shared" si="7"/>
        <v>2.9</v>
      </c>
      <c r="BH178" s="60"/>
      <c r="BI178" s="60"/>
      <c r="BJ178" s="60">
        <v>1327</v>
      </c>
      <c r="BK178" s="60">
        <v>560</v>
      </c>
      <c r="BL178" s="60">
        <v>144</v>
      </c>
      <c r="BM178" s="60">
        <v>50</v>
      </c>
      <c r="BN178" s="60">
        <v>11</v>
      </c>
    </row>
    <row r="179" spans="58:66" x14ac:dyDescent="0.15">
      <c r="BF179" s="60">
        <v>175</v>
      </c>
      <c r="BG179" s="86">
        <f t="shared" si="7"/>
        <v>2.9166666666666665</v>
      </c>
      <c r="BH179" s="60"/>
      <c r="BI179" s="60"/>
      <c r="BJ179" s="60">
        <v>1342</v>
      </c>
      <c r="BK179" s="60">
        <v>566</v>
      </c>
      <c r="BL179" s="60">
        <v>145</v>
      </c>
      <c r="BM179" s="60">
        <v>50</v>
      </c>
      <c r="BN179" s="60"/>
    </row>
    <row r="180" spans="58:66" x14ac:dyDescent="0.15">
      <c r="BF180" s="60">
        <v>176</v>
      </c>
      <c r="BG180" s="86">
        <f t="shared" si="7"/>
        <v>2.9333333333333331</v>
      </c>
      <c r="BH180" s="60"/>
      <c r="BI180" s="60"/>
      <c r="BJ180" s="60">
        <v>1356</v>
      </c>
      <c r="BK180" s="60">
        <v>572</v>
      </c>
      <c r="BL180" s="60">
        <v>147</v>
      </c>
      <c r="BM180" s="60">
        <v>51</v>
      </c>
      <c r="BN180" s="60"/>
    </row>
    <row r="181" spans="58:66" x14ac:dyDescent="0.15">
      <c r="BF181" s="60">
        <v>177</v>
      </c>
      <c r="BG181" s="86">
        <f t="shared" si="7"/>
        <v>2.95</v>
      </c>
      <c r="BH181" s="60"/>
      <c r="BI181" s="60"/>
      <c r="BJ181" s="60">
        <v>1370</v>
      </c>
      <c r="BK181" s="60">
        <v>578</v>
      </c>
      <c r="BL181" s="60">
        <v>148</v>
      </c>
      <c r="BM181" s="60">
        <v>51</v>
      </c>
      <c r="BN181" s="60"/>
    </row>
    <row r="182" spans="58:66" x14ac:dyDescent="0.15">
      <c r="BF182" s="60">
        <v>178</v>
      </c>
      <c r="BG182" s="86">
        <f t="shared" si="7"/>
        <v>2.9666666666666668</v>
      </c>
      <c r="BH182" s="60"/>
      <c r="BI182" s="60"/>
      <c r="BJ182" s="60">
        <v>1384</v>
      </c>
      <c r="BK182" s="60">
        <v>584</v>
      </c>
      <c r="BL182" s="60">
        <v>150</v>
      </c>
      <c r="BM182" s="60">
        <v>52</v>
      </c>
      <c r="BN182" s="60"/>
    </row>
    <row r="183" spans="58:66" x14ac:dyDescent="0.15">
      <c r="BF183" s="60">
        <v>179</v>
      </c>
      <c r="BG183" s="86">
        <f t="shared" si="7"/>
        <v>2.9833333333333334</v>
      </c>
      <c r="BH183" s="60"/>
      <c r="BI183" s="60"/>
      <c r="BJ183" s="60">
        <v>1398</v>
      </c>
      <c r="BK183" s="60">
        <v>590</v>
      </c>
      <c r="BL183" s="60">
        <v>151</v>
      </c>
      <c r="BM183" s="60">
        <v>53</v>
      </c>
      <c r="BN183" s="60"/>
    </row>
    <row r="184" spans="58:66" x14ac:dyDescent="0.15">
      <c r="BF184" s="60">
        <v>180</v>
      </c>
      <c r="BG184" s="86">
        <f t="shared" si="7"/>
        <v>3</v>
      </c>
      <c r="BH184" s="60"/>
      <c r="BI184" s="60"/>
      <c r="BJ184" s="60">
        <v>1413</v>
      </c>
      <c r="BK184" s="60">
        <v>596</v>
      </c>
      <c r="BL184" s="60">
        <v>153</v>
      </c>
      <c r="BM184" s="60">
        <v>53</v>
      </c>
      <c r="BN184" s="60">
        <v>11</v>
      </c>
    </row>
    <row r="185" spans="58:66" x14ac:dyDescent="0.15">
      <c r="BF185" s="60">
        <v>181</v>
      </c>
      <c r="BG185" s="86">
        <f t="shared" si="7"/>
        <v>3.0166666666666666</v>
      </c>
      <c r="BH185" s="60"/>
      <c r="BI185" s="60"/>
      <c r="BJ185" s="60">
        <v>1427</v>
      </c>
      <c r="BK185" s="60">
        <v>602</v>
      </c>
      <c r="BL185" s="60">
        <v>154</v>
      </c>
      <c r="BM185" s="60">
        <v>54</v>
      </c>
      <c r="BN185" s="60"/>
    </row>
    <row r="186" spans="58:66" x14ac:dyDescent="0.15">
      <c r="BF186" s="60">
        <v>182</v>
      </c>
      <c r="BG186" s="86">
        <f t="shared" si="7"/>
        <v>3.0333333333333332</v>
      </c>
      <c r="BH186" s="60"/>
      <c r="BI186" s="60"/>
      <c r="BJ186" s="60">
        <v>1442</v>
      </c>
      <c r="BK186" s="60">
        <v>608</v>
      </c>
      <c r="BL186" s="60">
        <v>156</v>
      </c>
      <c r="BM186" s="60">
        <v>54</v>
      </c>
      <c r="BN186" s="60"/>
    </row>
    <row r="187" spans="58:66" x14ac:dyDescent="0.15">
      <c r="BF187" s="60">
        <v>183</v>
      </c>
      <c r="BG187" s="86">
        <f t="shared" si="7"/>
        <v>3.05</v>
      </c>
      <c r="BH187" s="60"/>
      <c r="BI187" s="60"/>
      <c r="BJ187" s="60">
        <v>1457</v>
      </c>
      <c r="BK187" s="60">
        <v>614</v>
      </c>
      <c r="BL187" s="60">
        <v>158</v>
      </c>
      <c r="BM187" s="60">
        <v>55</v>
      </c>
      <c r="BN187" s="60"/>
    </row>
    <row r="188" spans="58:66" x14ac:dyDescent="0.15">
      <c r="BF188" s="60">
        <v>184</v>
      </c>
      <c r="BG188" s="86">
        <f t="shared" si="7"/>
        <v>3.0666666666666669</v>
      </c>
      <c r="BH188" s="60"/>
      <c r="BI188" s="60"/>
      <c r="BJ188" s="60">
        <v>1471</v>
      </c>
      <c r="BK188" s="60">
        <v>620</v>
      </c>
      <c r="BL188" s="60">
        <v>159</v>
      </c>
      <c r="BM188" s="60">
        <v>55</v>
      </c>
      <c r="BN188" s="60"/>
    </row>
    <row r="189" spans="58:66" x14ac:dyDescent="0.15">
      <c r="BF189" s="60">
        <v>185</v>
      </c>
      <c r="BG189" s="86">
        <f t="shared" si="7"/>
        <v>3.0833333333333335</v>
      </c>
      <c r="BH189" s="60"/>
      <c r="BI189" s="60"/>
      <c r="BJ189" s="60">
        <v>1486</v>
      </c>
      <c r="BK189" s="60">
        <v>627</v>
      </c>
      <c r="BL189" s="60">
        <v>161</v>
      </c>
      <c r="BM189" s="60">
        <v>56</v>
      </c>
      <c r="BN189" s="60"/>
    </row>
    <row r="190" spans="58:66" x14ac:dyDescent="0.15">
      <c r="BF190" s="60">
        <v>186</v>
      </c>
      <c r="BG190" s="86">
        <f t="shared" si="7"/>
        <v>3.1</v>
      </c>
      <c r="BH190" s="60"/>
      <c r="BI190" s="60"/>
      <c r="BJ190" s="60">
        <v>1501</v>
      </c>
      <c r="BK190" s="60">
        <v>633</v>
      </c>
      <c r="BL190" s="60">
        <v>162</v>
      </c>
      <c r="BM190" s="60">
        <v>56</v>
      </c>
      <c r="BN190" s="60">
        <v>12</v>
      </c>
    </row>
    <row r="191" spans="58:66" x14ac:dyDescent="0.15">
      <c r="BF191" s="60">
        <v>187</v>
      </c>
      <c r="BG191" s="86">
        <f t="shared" si="7"/>
        <v>3.1166666666666667</v>
      </c>
      <c r="BH191" s="60"/>
      <c r="BI191" s="60"/>
      <c r="BJ191" s="60">
        <v>1516</v>
      </c>
      <c r="BK191" s="60">
        <v>639</v>
      </c>
      <c r="BL191" s="60">
        <v>164</v>
      </c>
      <c r="BM191" s="60">
        <v>57</v>
      </c>
      <c r="BN191" s="60"/>
    </row>
    <row r="192" spans="58:66" x14ac:dyDescent="0.15">
      <c r="BF192" s="60">
        <v>188</v>
      </c>
      <c r="BG192" s="86">
        <f t="shared" si="7"/>
        <v>3.1333333333333333</v>
      </c>
      <c r="BH192" s="60"/>
      <c r="BI192" s="60"/>
      <c r="BJ192" s="60">
        <v>1531</v>
      </c>
      <c r="BK192" s="60">
        <v>645</v>
      </c>
      <c r="BL192" s="60">
        <v>165</v>
      </c>
      <c r="BM192" s="60">
        <v>57</v>
      </c>
      <c r="BN192" s="60"/>
    </row>
    <row r="193" spans="58:66" x14ac:dyDescent="0.15">
      <c r="BF193" s="60">
        <v>189</v>
      </c>
      <c r="BG193" s="86">
        <f t="shared" si="7"/>
        <v>3.15</v>
      </c>
      <c r="BH193" s="60"/>
      <c r="BI193" s="60"/>
      <c r="BJ193" s="60">
        <v>1546</v>
      </c>
      <c r="BK193" s="60">
        <v>652</v>
      </c>
      <c r="BL193" s="60">
        <v>167</v>
      </c>
      <c r="BM193" s="60">
        <v>58</v>
      </c>
      <c r="BN193" s="60"/>
    </row>
    <row r="194" spans="58:66" x14ac:dyDescent="0.15">
      <c r="BF194" s="60">
        <v>190</v>
      </c>
      <c r="BG194" s="86">
        <f t="shared" si="7"/>
        <v>3.1666666666666665</v>
      </c>
      <c r="BH194" s="60"/>
      <c r="BI194" s="60"/>
      <c r="BJ194" s="60">
        <v>1561</v>
      </c>
      <c r="BK194" s="60">
        <v>658</v>
      </c>
      <c r="BL194" s="60">
        <v>169</v>
      </c>
      <c r="BM194" s="60">
        <v>58</v>
      </c>
      <c r="BN194" s="60"/>
    </row>
    <row r="195" spans="58:66" x14ac:dyDescent="0.15">
      <c r="BF195" s="60">
        <v>191</v>
      </c>
      <c r="BG195" s="86">
        <f t="shared" si="7"/>
        <v>3.1833333333333331</v>
      </c>
      <c r="BH195" s="60"/>
      <c r="BI195" s="60"/>
      <c r="BJ195" s="60">
        <v>1576</v>
      </c>
      <c r="BK195" s="60">
        <v>664</v>
      </c>
      <c r="BL195" s="60">
        <v>170</v>
      </c>
      <c r="BM195" s="60">
        <v>59</v>
      </c>
      <c r="BN195" s="60"/>
    </row>
    <row r="196" spans="58:66" x14ac:dyDescent="0.15">
      <c r="BF196" s="60">
        <v>192</v>
      </c>
      <c r="BG196" s="86">
        <f t="shared" si="7"/>
        <v>3.2</v>
      </c>
      <c r="BH196" s="60"/>
      <c r="BI196" s="60"/>
      <c r="BJ196" s="60">
        <v>1591</v>
      </c>
      <c r="BK196" s="60">
        <v>671</v>
      </c>
      <c r="BL196" s="60">
        <v>172</v>
      </c>
      <c r="BM196" s="60">
        <v>60</v>
      </c>
      <c r="BN196" s="60">
        <v>13</v>
      </c>
    </row>
    <row r="197" spans="58:66" x14ac:dyDescent="0.15">
      <c r="BF197" s="60">
        <v>193</v>
      </c>
      <c r="BG197" s="86">
        <f t="shared" ref="BG197:BG260" si="8">BF197/60</f>
        <v>3.2166666666666668</v>
      </c>
      <c r="BH197" s="60"/>
      <c r="BI197" s="60"/>
      <c r="BJ197" s="60">
        <v>1606</v>
      </c>
      <c r="BK197" s="60">
        <v>677</v>
      </c>
      <c r="BL197" s="60">
        <v>173</v>
      </c>
      <c r="BM197" s="60">
        <v>60</v>
      </c>
      <c r="BN197" s="60"/>
    </row>
    <row r="198" spans="58:66" x14ac:dyDescent="0.15">
      <c r="BF198" s="60">
        <v>194</v>
      </c>
      <c r="BG198" s="86">
        <f t="shared" si="8"/>
        <v>3.2333333333333334</v>
      </c>
      <c r="BH198" s="60"/>
      <c r="BI198" s="60"/>
      <c r="BJ198" s="60">
        <v>1622</v>
      </c>
      <c r="BK198" s="60">
        <v>683</v>
      </c>
      <c r="BL198" s="60">
        <v>175</v>
      </c>
      <c r="BM198" s="60">
        <v>61</v>
      </c>
      <c r="BN198" s="60"/>
    </row>
    <row r="199" spans="58:66" x14ac:dyDescent="0.15">
      <c r="BF199" s="60">
        <v>195</v>
      </c>
      <c r="BG199" s="86">
        <f t="shared" si="8"/>
        <v>3.25</v>
      </c>
      <c r="BH199" s="60"/>
      <c r="BI199" s="60"/>
      <c r="BJ199" s="60">
        <v>1637</v>
      </c>
      <c r="BK199" s="60">
        <v>690</v>
      </c>
      <c r="BL199" s="60">
        <v>177</v>
      </c>
      <c r="BM199" s="60">
        <v>61</v>
      </c>
      <c r="BN199" s="60"/>
    </row>
    <row r="200" spans="58:66" x14ac:dyDescent="0.15">
      <c r="BF200" s="60">
        <v>196</v>
      </c>
      <c r="BG200" s="86">
        <f t="shared" si="8"/>
        <v>3.2666666666666666</v>
      </c>
      <c r="BH200" s="60"/>
      <c r="BI200" s="60"/>
      <c r="BJ200" s="60">
        <v>1653</v>
      </c>
      <c r="BK200" s="60">
        <v>696</v>
      </c>
      <c r="BL200" s="60">
        <v>178</v>
      </c>
      <c r="BM200" s="60">
        <v>62</v>
      </c>
      <c r="BN200" s="60"/>
    </row>
    <row r="201" spans="58:66" x14ac:dyDescent="0.15">
      <c r="BF201" s="60">
        <v>197</v>
      </c>
      <c r="BG201" s="86">
        <f t="shared" si="8"/>
        <v>3.2833333333333332</v>
      </c>
      <c r="BH201" s="60"/>
      <c r="BI201" s="60"/>
      <c r="BJ201" s="60">
        <v>1668</v>
      </c>
      <c r="BK201" s="60">
        <v>703</v>
      </c>
      <c r="BL201" s="60">
        <v>180</v>
      </c>
      <c r="BM201" s="60">
        <v>62</v>
      </c>
      <c r="BN201" s="60"/>
    </row>
    <row r="202" spans="58:66" x14ac:dyDescent="0.15">
      <c r="BF202" s="60">
        <v>198</v>
      </c>
      <c r="BG202" s="86">
        <f t="shared" si="8"/>
        <v>3.3</v>
      </c>
      <c r="BH202" s="60"/>
      <c r="BI202" s="60"/>
      <c r="BJ202" s="60">
        <v>1684</v>
      </c>
      <c r="BK202" s="60">
        <v>709</v>
      </c>
      <c r="BL202" s="60">
        <v>182</v>
      </c>
      <c r="BM202" s="60">
        <v>63</v>
      </c>
      <c r="BN202" s="60">
        <v>14</v>
      </c>
    </row>
    <row r="203" spans="58:66" x14ac:dyDescent="0.15">
      <c r="BF203" s="60">
        <v>199</v>
      </c>
      <c r="BG203" s="86">
        <f t="shared" si="8"/>
        <v>3.3166666666666669</v>
      </c>
      <c r="BH203" s="60"/>
      <c r="BI203" s="60"/>
      <c r="BJ203" s="60">
        <v>1700</v>
      </c>
      <c r="BK203" s="60">
        <v>716</v>
      </c>
      <c r="BL203" s="60">
        <v>183</v>
      </c>
      <c r="BM203" s="60">
        <v>63</v>
      </c>
      <c r="BN203" s="60"/>
    </row>
    <row r="204" spans="58:66" x14ac:dyDescent="0.15">
      <c r="BF204" s="60">
        <v>200</v>
      </c>
      <c r="BG204" s="86">
        <f t="shared" si="8"/>
        <v>3.3333333333333335</v>
      </c>
      <c r="BH204" s="60"/>
      <c r="BI204" s="60"/>
      <c r="BJ204" s="60">
        <v>1716</v>
      </c>
      <c r="BK204" s="60">
        <v>723</v>
      </c>
      <c r="BL204" s="60">
        <v>185</v>
      </c>
      <c r="BM204" s="60">
        <v>64</v>
      </c>
      <c r="BN204" s="60"/>
    </row>
    <row r="205" spans="58:66" x14ac:dyDescent="0.15">
      <c r="BF205" s="60">
        <v>201</v>
      </c>
      <c r="BG205" s="86">
        <f t="shared" si="8"/>
        <v>3.35</v>
      </c>
      <c r="BH205" s="60"/>
      <c r="BI205" s="60"/>
      <c r="BJ205" s="60"/>
      <c r="BK205" s="60">
        <v>729</v>
      </c>
      <c r="BL205" s="60">
        <v>187</v>
      </c>
      <c r="BM205" s="60">
        <v>65</v>
      </c>
      <c r="BN205" s="60"/>
    </row>
    <row r="206" spans="58:66" x14ac:dyDescent="0.15">
      <c r="BF206" s="60">
        <v>202</v>
      </c>
      <c r="BG206" s="86">
        <f t="shared" si="8"/>
        <v>3.3666666666666667</v>
      </c>
      <c r="BH206" s="60"/>
      <c r="BI206" s="60"/>
      <c r="BJ206" s="60"/>
      <c r="BK206" s="60">
        <v>736</v>
      </c>
      <c r="BL206" s="60">
        <v>188</v>
      </c>
      <c r="BM206" s="60">
        <v>65</v>
      </c>
      <c r="BN206" s="60"/>
    </row>
    <row r="207" spans="58:66" x14ac:dyDescent="0.15">
      <c r="BF207" s="60">
        <v>203</v>
      </c>
      <c r="BG207" s="86">
        <f t="shared" si="8"/>
        <v>3.3833333333333333</v>
      </c>
      <c r="BH207" s="60"/>
      <c r="BI207" s="60"/>
      <c r="BJ207" s="60"/>
      <c r="BK207" s="60">
        <v>743</v>
      </c>
      <c r="BL207" s="60">
        <v>190</v>
      </c>
      <c r="BM207" s="60">
        <v>66</v>
      </c>
      <c r="BN207" s="60"/>
    </row>
    <row r="208" spans="58:66" x14ac:dyDescent="0.15">
      <c r="BF208" s="60">
        <v>204</v>
      </c>
      <c r="BG208" s="86">
        <f t="shared" si="8"/>
        <v>3.4</v>
      </c>
      <c r="BH208" s="60"/>
      <c r="BI208" s="60"/>
      <c r="BJ208" s="60"/>
      <c r="BK208" s="60">
        <v>749</v>
      </c>
      <c r="BL208" s="60">
        <v>192</v>
      </c>
      <c r="BM208" s="60">
        <v>66</v>
      </c>
      <c r="BN208" s="60">
        <v>14</v>
      </c>
    </row>
    <row r="209" spans="58:66" x14ac:dyDescent="0.15">
      <c r="BF209" s="60">
        <v>205</v>
      </c>
      <c r="BG209" s="86">
        <f t="shared" si="8"/>
        <v>3.4166666666666665</v>
      </c>
      <c r="BH209" s="60"/>
      <c r="BI209" s="60"/>
      <c r="BJ209" s="60"/>
      <c r="BK209" s="60">
        <v>756</v>
      </c>
      <c r="BL209" s="60">
        <v>193</v>
      </c>
      <c r="BM209" s="60">
        <v>67</v>
      </c>
      <c r="BN209" s="60"/>
    </row>
    <row r="210" spans="58:66" x14ac:dyDescent="0.15">
      <c r="BF210" s="60">
        <v>206</v>
      </c>
      <c r="BG210" s="86">
        <f t="shared" si="8"/>
        <v>3.4333333333333331</v>
      </c>
      <c r="BH210" s="60"/>
      <c r="BI210" s="60"/>
      <c r="BJ210" s="60"/>
      <c r="BK210" s="60">
        <v>763</v>
      </c>
      <c r="BL210" s="60">
        <v>195</v>
      </c>
      <c r="BM210" s="60">
        <v>68</v>
      </c>
      <c r="BN210" s="60"/>
    </row>
    <row r="211" spans="58:66" x14ac:dyDescent="0.15">
      <c r="BF211" s="60">
        <v>207</v>
      </c>
      <c r="BG211" s="86">
        <f t="shared" si="8"/>
        <v>3.45</v>
      </c>
      <c r="BH211" s="60"/>
      <c r="BI211" s="60"/>
      <c r="BJ211" s="60"/>
      <c r="BK211" s="60">
        <v>770</v>
      </c>
      <c r="BL211" s="60">
        <v>197</v>
      </c>
      <c r="BM211" s="60">
        <v>68</v>
      </c>
      <c r="BN211" s="60"/>
    </row>
    <row r="212" spans="58:66" x14ac:dyDescent="0.15">
      <c r="BF212" s="60">
        <v>208</v>
      </c>
      <c r="BG212" s="86">
        <f t="shared" si="8"/>
        <v>3.4666666666666668</v>
      </c>
      <c r="BH212" s="60"/>
      <c r="BI212" s="60"/>
      <c r="BJ212" s="60"/>
      <c r="BK212" s="60">
        <v>776</v>
      </c>
      <c r="BL212" s="60">
        <v>199</v>
      </c>
      <c r="BM212" s="60">
        <v>69</v>
      </c>
      <c r="BN212" s="60"/>
    </row>
    <row r="213" spans="58:66" x14ac:dyDescent="0.15">
      <c r="BF213" s="60">
        <v>209</v>
      </c>
      <c r="BG213" s="86">
        <f t="shared" si="8"/>
        <v>3.4833333333333334</v>
      </c>
      <c r="BH213" s="60"/>
      <c r="BI213" s="60"/>
      <c r="BJ213" s="60"/>
      <c r="BK213" s="60">
        <v>783</v>
      </c>
      <c r="BL213" s="60">
        <v>200</v>
      </c>
      <c r="BM213" s="60">
        <v>69</v>
      </c>
      <c r="BN213" s="60"/>
    </row>
    <row r="214" spans="58:66" x14ac:dyDescent="0.15">
      <c r="BF214" s="60">
        <v>210</v>
      </c>
      <c r="BG214" s="86">
        <f t="shared" si="8"/>
        <v>3.5</v>
      </c>
      <c r="BH214" s="60"/>
      <c r="BI214" s="60"/>
      <c r="BJ214" s="60"/>
      <c r="BK214" s="60">
        <v>790</v>
      </c>
      <c r="BL214" s="60">
        <v>202</v>
      </c>
      <c r="BM214" s="60">
        <v>70</v>
      </c>
      <c r="BN214" s="60">
        <v>15</v>
      </c>
    </row>
    <row r="215" spans="58:66" x14ac:dyDescent="0.15">
      <c r="BF215" s="60">
        <v>211</v>
      </c>
      <c r="BG215" s="86">
        <f t="shared" si="8"/>
        <v>3.5166666666666666</v>
      </c>
      <c r="BH215" s="60"/>
      <c r="BI215" s="60"/>
      <c r="BJ215" s="60"/>
      <c r="BK215" s="60">
        <v>797</v>
      </c>
      <c r="BL215" s="60">
        <v>204</v>
      </c>
      <c r="BM215" s="60">
        <v>70</v>
      </c>
      <c r="BN215" s="60"/>
    </row>
    <row r="216" spans="58:66" x14ac:dyDescent="0.15">
      <c r="BF216" s="60">
        <v>212</v>
      </c>
      <c r="BG216" s="86">
        <f t="shared" si="8"/>
        <v>3.5333333333333332</v>
      </c>
      <c r="BH216" s="60"/>
      <c r="BI216" s="60"/>
      <c r="BJ216" s="60"/>
      <c r="BK216" s="60">
        <v>804</v>
      </c>
      <c r="BL216" s="60">
        <v>205</v>
      </c>
      <c r="BM216" s="60">
        <v>71</v>
      </c>
      <c r="BN216" s="60"/>
    </row>
    <row r="217" spans="58:66" x14ac:dyDescent="0.15">
      <c r="BF217" s="60">
        <v>213</v>
      </c>
      <c r="BG217" s="86">
        <f t="shared" si="8"/>
        <v>3.55</v>
      </c>
      <c r="BH217" s="60"/>
      <c r="BI217" s="60"/>
      <c r="BJ217" s="60"/>
      <c r="BK217" s="60">
        <v>811</v>
      </c>
      <c r="BL217" s="60">
        <v>207</v>
      </c>
      <c r="BM217" s="60">
        <v>72</v>
      </c>
      <c r="BN217" s="60"/>
    </row>
    <row r="218" spans="58:66" x14ac:dyDescent="0.15">
      <c r="BF218" s="60">
        <v>214</v>
      </c>
      <c r="BG218" s="86">
        <f t="shared" si="8"/>
        <v>3.5666666666666669</v>
      </c>
      <c r="BH218" s="60"/>
      <c r="BI218" s="60"/>
      <c r="BJ218" s="60"/>
      <c r="BK218" s="60">
        <v>818</v>
      </c>
      <c r="BL218" s="60">
        <v>209</v>
      </c>
      <c r="BM218" s="60">
        <v>72</v>
      </c>
      <c r="BN218" s="60"/>
    </row>
    <row r="219" spans="58:66" x14ac:dyDescent="0.15">
      <c r="BF219" s="60">
        <v>215</v>
      </c>
      <c r="BG219" s="86">
        <f t="shared" si="8"/>
        <v>3.5833333333333335</v>
      </c>
      <c r="BH219" s="60"/>
      <c r="BI219" s="60"/>
      <c r="BJ219" s="60"/>
      <c r="BK219" s="60">
        <v>825</v>
      </c>
      <c r="BL219" s="60">
        <v>211</v>
      </c>
      <c r="BM219" s="60">
        <v>73</v>
      </c>
      <c r="BN219" s="60"/>
    </row>
    <row r="220" spans="58:66" x14ac:dyDescent="0.15">
      <c r="BF220" s="60">
        <v>216</v>
      </c>
      <c r="BG220" s="86">
        <f t="shared" si="8"/>
        <v>3.6</v>
      </c>
      <c r="BH220" s="60"/>
      <c r="BI220" s="60"/>
      <c r="BJ220" s="60"/>
      <c r="BK220" s="60">
        <v>832</v>
      </c>
      <c r="BL220" s="60">
        <v>213</v>
      </c>
      <c r="BM220" s="60">
        <v>74</v>
      </c>
      <c r="BN220" s="60">
        <v>16</v>
      </c>
    </row>
    <row r="221" spans="58:66" x14ac:dyDescent="0.15">
      <c r="BF221" s="60">
        <v>217</v>
      </c>
      <c r="BG221" s="86">
        <f t="shared" si="8"/>
        <v>3.6166666666666667</v>
      </c>
      <c r="BH221" s="60"/>
      <c r="BI221" s="60"/>
      <c r="BJ221" s="60"/>
      <c r="BK221" s="60">
        <v>839</v>
      </c>
      <c r="BL221" s="60">
        <v>214</v>
      </c>
      <c r="BM221" s="60">
        <v>74</v>
      </c>
      <c r="BN221" s="60"/>
    </row>
    <row r="222" spans="58:66" x14ac:dyDescent="0.15">
      <c r="BF222" s="60">
        <v>218</v>
      </c>
      <c r="BG222" s="86">
        <f t="shared" si="8"/>
        <v>3.6333333333333333</v>
      </c>
      <c r="BH222" s="60"/>
      <c r="BI222" s="60"/>
      <c r="BJ222" s="60"/>
      <c r="BK222" s="60">
        <v>846</v>
      </c>
      <c r="BL222" s="60">
        <v>216</v>
      </c>
      <c r="BM222" s="60">
        <v>75</v>
      </c>
      <c r="BN222" s="60"/>
    </row>
    <row r="223" spans="58:66" x14ac:dyDescent="0.15">
      <c r="BF223" s="60">
        <v>219</v>
      </c>
      <c r="BG223" s="86">
        <f t="shared" si="8"/>
        <v>3.65</v>
      </c>
      <c r="BH223" s="60"/>
      <c r="BI223" s="60"/>
      <c r="BJ223" s="60"/>
      <c r="BK223" s="60">
        <v>853</v>
      </c>
      <c r="BL223" s="60">
        <v>218</v>
      </c>
      <c r="BM223" s="60">
        <v>75</v>
      </c>
      <c r="BN223" s="60"/>
    </row>
    <row r="224" spans="58:66" x14ac:dyDescent="0.15">
      <c r="BF224" s="60">
        <v>220</v>
      </c>
      <c r="BG224" s="86">
        <f t="shared" si="8"/>
        <v>3.6666666666666665</v>
      </c>
      <c r="BH224" s="60"/>
      <c r="BI224" s="60"/>
      <c r="BJ224" s="60"/>
      <c r="BK224" s="60">
        <v>860</v>
      </c>
      <c r="BL224" s="60">
        <v>220</v>
      </c>
      <c r="BM224" s="60">
        <v>76</v>
      </c>
      <c r="BN224" s="60"/>
    </row>
    <row r="225" spans="58:66" x14ac:dyDescent="0.15">
      <c r="BF225" s="60">
        <v>221</v>
      </c>
      <c r="BG225" s="86">
        <f t="shared" si="8"/>
        <v>3.6833333333333331</v>
      </c>
      <c r="BH225" s="60"/>
      <c r="BI225" s="60"/>
      <c r="BJ225" s="60"/>
      <c r="BK225" s="60">
        <v>868</v>
      </c>
      <c r="BL225" s="60">
        <v>222</v>
      </c>
      <c r="BM225" s="60">
        <v>77</v>
      </c>
      <c r="BN225" s="60"/>
    </row>
    <row r="226" spans="58:66" x14ac:dyDescent="0.15">
      <c r="BF226" s="60">
        <v>222</v>
      </c>
      <c r="BG226" s="86">
        <f t="shared" si="8"/>
        <v>3.7</v>
      </c>
      <c r="BH226" s="60"/>
      <c r="BI226" s="60"/>
      <c r="BJ226" s="60"/>
      <c r="BK226" s="60">
        <v>875</v>
      </c>
      <c r="BL226" s="60">
        <v>223</v>
      </c>
      <c r="BM226" s="60">
        <v>77</v>
      </c>
      <c r="BN226" s="60">
        <v>17</v>
      </c>
    </row>
    <row r="227" spans="58:66" x14ac:dyDescent="0.15">
      <c r="BF227" s="60">
        <v>223</v>
      </c>
      <c r="BG227" s="86">
        <f t="shared" si="8"/>
        <v>3.7166666666666668</v>
      </c>
      <c r="BH227" s="60"/>
      <c r="BI227" s="60"/>
      <c r="BJ227" s="60"/>
      <c r="BK227" s="60">
        <v>882</v>
      </c>
      <c r="BL227" s="60">
        <v>225</v>
      </c>
      <c r="BM227" s="60">
        <v>78</v>
      </c>
      <c r="BN227" s="60"/>
    </row>
    <row r="228" spans="58:66" x14ac:dyDescent="0.15">
      <c r="BF228" s="60">
        <v>224</v>
      </c>
      <c r="BG228" s="86">
        <f t="shared" si="8"/>
        <v>3.7333333333333334</v>
      </c>
      <c r="BH228" s="60"/>
      <c r="BI228" s="60"/>
      <c r="BJ228" s="60"/>
      <c r="BK228" s="60">
        <v>889</v>
      </c>
      <c r="BL228" s="60">
        <v>227</v>
      </c>
      <c r="BM228" s="60">
        <v>78</v>
      </c>
      <c r="BN228" s="60"/>
    </row>
    <row r="229" spans="58:66" x14ac:dyDescent="0.15">
      <c r="BF229" s="60">
        <v>225</v>
      </c>
      <c r="BG229" s="86">
        <f t="shared" si="8"/>
        <v>3.75</v>
      </c>
      <c r="BH229" s="60"/>
      <c r="BI229" s="60"/>
      <c r="BJ229" s="60"/>
      <c r="BK229" s="60">
        <v>897</v>
      </c>
      <c r="BL229" s="60">
        <v>229</v>
      </c>
      <c r="BM229" s="60">
        <v>79</v>
      </c>
      <c r="BN229" s="60"/>
    </row>
    <row r="230" spans="58:66" x14ac:dyDescent="0.15">
      <c r="BF230" s="60">
        <v>226</v>
      </c>
      <c r="BG230" s="86">
        <f t="shared" si="8"/>
        <v>3.7666666666666666</v>
      </c>
      <c r="BH230" s="60"/>
      <c r="BI230" s="60"/>
      <c r="BJ230" s="60"/>
      <c r="BK230" s="60">
        <v>904</v>
      </c>
      <c r="BL230" s="60">
        <v>231</v>
      </c>
      <c r="BM230" s="60">
        <v>80</v>
      </c>
      <c r="BN230" s="60"/>
    </row>
    <row r="231" spans="58:66" x14ac:dyDescent="0.15">
      <c r="BF231" s="60">
        <v>227</v>
      </c>
      <c r="BG231" s="86">
        <f t="shared" si="8"/>
        <v>3.7833333333333332</v>
      </c>
      <c r="BH231" s="60"/>
      <c r="BI231" s="60"/>
      <c r="BJ231" s="60"/>
      <c r="BK231" s="60">
        <v>911</v>
      </c>
      <c r="BL231" s="60">
        <v>233</v>
      </c>
      <c r="BM231" s="60">
        <v>80</v>
      </c>
      <c r="BN231" s="60"/>
    </row>
    <row r="232" spans="58:66" x14ac:dyDescent="0.15">
      <c r="BF232" s="60">
        <v>228</v>
      </c>
      <c r="BG232" s="86">
        <f t="shared" si="8"/>
        <v>3.8</v>
      </c>
      <c r="BH232" s="60"/>
      <c r="BI232" s="60"/>
      <c r="BJ232" s="60"/>
      <c r="BK232" s="60">
        <v>919</v>
      </c>
      <c r="BL232" s="60">
        <v>234</v>
      </c>
      <c r="BM232" s="60">
        <v>81</v>
      </c>
      <c r="BN232" s="60">
        <v>18</v>
      </c>
    </row>
    <row r="233" spans="58:66" x14ac:dyDescent="0.15">
      <c r="BF233" s="60">
        <v>229</v>
      </c>
      <c r="BG233" s="86">
        <f t="shared" si="8"/>
        <v>3.8166666666666669</v>
      </c>
      <c r="BH233" s="60"/>
      <c r="BI233" s="60"/>
      <c r="BJ233" s="60"/>
      <c r="BK233" s="60">
        <v>926</v>
      </c>
      <c r="BL233" s="60">
        <v>236</v>
      </c>
      <c r="BM233" s="60">
        <v>82</v>
      </c>
      <c r="BN233" s="60"/>
    </row>
    <row r="234" spans="58:66" x14ac:dyDescent="0.15">
      <c r="BF234" s="60">
        <v>230</v>
      </c>
      <c r="BG234" s="86">
        <f t="shared" si="8"/>
        <v>3.8333333333333335</v>
      </c>
      <c r="BH234" s="60"/>
      <c r="BI234" s="60"/>
      <c r="BJ234" s="60"/>
      <c r="BK234" s="60">
        <v>934</v>
      </c>
      <c r="BL234" s="60">
        <v>238</v>
      </c>
      <c r="BM234" s="60">
        <v>82</v>
      </c>
      <c r="BN234" s="60"/>
    </row>
    <row r="235" spans="58:66" x14ac:dyDescent="0.15">
      <c r="BF235" s="60">
        <v>231</v>
      </c>
      <c r="BG235" s="86">
        <f t="shared" si="8"/>
        <v>3.85</v>
      </c>
      <c r="BH235" s="60"/>
      <c r="BI235" s="60"/>
      <c r="BJ235" s="60"/>
      <c r="BK235" s="60">
        <v>941</v>
      </c>
      <c r="BL235" s="60">
        <v>240</v>
      </c>
      <c r="BM235" s="60">
        <v>83</v>
      </c>
      <c r="BN235" s="60"/>
    </row>
    <row r="236" spans="58:66" x14ac:dyDescent="0.15">
      <c r="BF236" s="60">
        <v>232</v>
      </c>
      <c r="BG236" s="86">
        <f t="shared" si="8"/>
        <v>3.8666666666666667</v>
      </c>
      <c r="BH236" s="60"/>
      <c r="BI236" s="60"/>
      <c r="BJ236" s="60"/>
      <c r="BK236" s="60">
        <v>949</v>
      </c>
      <c r="BL236" s="60">
        <v>242</v>
      </c>
      <c r="BM236" s="60">
        <v>84</v>
      </c>
      <c r="BN236" s="60"/>
    </row>
    <row r="237" spans="58:66" x14ac:dyDescent="0.15">
      <c r="BF237" s="60">
        <v>233</v>
      </c>
      <c r="BG237" s="86">
        <f t="shared" si="8"/>
        <v>3.8833333333333333</v>
      </c>
      <c r="BH237" s="60"/>
      <c r="BI237" s="60"/>
      <c r="BJ237" s="60"/>
      <c r="BK237" s="60">
        <v>956</v>
      </c>
      <c r="BL237" s="60">
        <v>244</v>
      </c>
      <c r="BM237" s="60">
        <v>84</v>
      </c>
      <c r="BN237" s="60"/>
    </row>
    <row r="238" spans="58:66" x14ac:dyDescent="0.15">
      <c r="BF238" s="60">
        <v>234</v>
      </c>
      <c r="BG238" s="86">
        <f t="shared" si="8"/>
        <v>3.9</v>
      </c>
      <c r="BH238" s="60"/>
      <c r="BI238" s="60"/>
      <c r="BJ238" s="60"/>
      <c r="BK238" s="60">
        <v>964</v>
      </c>
      <c r="BL238" s="60">
        <v>246</v>
      </c>
      <c r="BM238" s="60">
        <v>85</v>
      </c>
      <c r="BN238" s="60">
        <v>19</v>
      </c>
    </row>
    <row r="239" spans="58:66" x14ac:dyDescent="0.15">
      <c r="BF239" s="60">
        <v>235</v>
      </c>
      <c r="BG239" s="86">
        <f t="shared" si="8"/>
        <v>3.9166666666666665</v>
      </c>
      <c r="BH239" s="60"/>
      <c r="BI239" s="60"/>
      <c r="BJ239" s="60"/>
      <c r="BK239" s="60">
        <v>971</v>
      </c>
      <c r="BL239" s="60">
        <v>248</v>
      </c>
      <c r="BM239" s="60">
        <v>86</v>
      </c>
      <c r="BN239" s="60"/>
    </row>
    <row r="240" spans="58:66" x14ac:dyDescent="0.15">
      <c r="BF240" s="60">
        <v>236</v>
      </c>
      <c r="BG240" s="86">
        <f t="shared" si="8"/>
        <v>3.9333333333333331</v>
      </c>
      <c r="BH240" s="60"/>
      <c r="BI240" s="60"/>
      <c r="BJ240" s="60"/>
      <c r="BK240" s="60">
        <v>979</v>
      </c>
      <c r="BL240" s="60">
        <v>250</v>
      </c>
      <c r="BM240" s="60">
        <v>86</v>
      </c>
      <c r="BN240" s="60"/>
    </row>
    <row r="241" spans="58:66" x14ac:dyDescent="0.15">
      <c r="BF241" s="60">
        <v>237</v>
      </c>
      <c r="BG241" s="86">
        <f t="shared" si="8"/>
        <v>3.95</v>
      </c>
      <c r="BH241" s="60"/>
      <c r="BI241" s="60"/>
      <c r="BJ241" s="60"/>
      <c r="BK241" s="60">
        <v>987</v>
      </c>
      <c r="BL241" s="60">
        <v>251</v>
      </c>
      <c r="BM241" s="60">
        <v>87</v>
      </c>
      <c r="BN241" s="60"/>
    </row>
    <row r="242" spans="58:66" x14ac:dyDescent="0.15">
      <c r="BF242" s="60">
        <v>238</v>
      </c>
      <c r="BG242" s="86">
        <f t="shared" si="8"/>
        <v>3.9666666666666668</v>
      </c>
      <c r="BH242" s="60"/>
      <c r="BI242" s="60"/>
      <c r="BJ242" s="60"/>
      <c r="BK242" s="60">
        <v>994</v>
      </c>
      <c r="BL242" s="60">
        <v>253</v>
      </c>
      <c r="BM242" s="60">
        <v>88</v>
      </c>
      <c r="BN242" s="60"/>
    </row>
    <row r="243" spans="58:66" x14ac:dyDescent="0.15">
      <c r="BF243" s="60">
        <v>239</v>
      </c>
      <c r="BG243" s="86">
        <f t="shared" si="8"/>
        <v>3.9833333333333334</v>
      </c>
      <c r="BH243" s="60"/>
      <c r="BI243" s="60"/>
      <c r="BJ243" s="60"/>
      <c r="BK243" s="60">
        <v>1002</v>
      </c>
      <c r="BL243" s="60">
        <v>255</v>
      </c>
      <c r="BM243" s="60">
        <v>88</v>
      </c>
      <c r="BN243" s="60"/>
    </row>
    <row r="244" spans="58:66" x14ac:dyDescent="0.15">
      <c r="BF244" s="60">
        <v>240</v>
      </c>
      <c r="BG244" s="86">
        <f t="shared" si="8"/>
        <v>4</v>
      </c>
      <c r="BH244" s="60"/>
      <c r="BI244" s="60"/>
      <c r="BJ244" s="60"/>
      <c r="BK244" s="60">
        <v>1010</v>
      </c>
      <c r="BL244" s="60">
        <v>257</v>
      </c>
      <c r="BM244" s="60">
        <v>89</v>
      </c>
      <c r="BN244" s="60">
        <v>20</v>
      </c>
    </row>
    <row r="245" spans="58:66" x14ac:dyDescent="0.15">
      <c r="BF245" s="60">
        <v>241</v>
      </c>
      <c r="BG245" s="86">
        <f t="shared" si="8"/>
        <v>4.0166666666666666</v>
      </c>
      <c r="BH245" s="60"/>
      <c r="BI245" s="60"/>
      <c r="BJ245" s="60"/>
      <c r="BK245" s="60">
        <v>1017</v>
      </c>
      <c r="BL245" s="60">
        <v>259</v>
      </c>
      <c r="BM245" s="60">
        <v>89</v>
      </c>
      <c r="BN245" s="60"/>
    </row>
    <row r="246" spans="58:66" x14ac:dyDescent="0.15">
      <c r="BF246" s="60">
        <v>242</v>
      </c>
      <c r="BG246" s="86">
        <f t="shared" si="8"/>
        <v>4.0333333333333332</v>
      </c>
      <c r="BH246" s="60"/>
      <c r="BI246" s="60"/>
      <c r="BJ246" s="60"/>
      <c r="BK246" s="60">
        <v>1025</v>
      </c>
      <c r="BL246" s="60">
        <v>261</v>
      </c>
      <c r="BM246" s="60">
        <v>90</v>
      </c>
      <c r="BN246" s="60"/>
    </row>
    <row r="247" spans="58:66" x14ac:dyDescent="0.15">
      <c r="BF247" s="60">
        <v>243</v>
      </c>
      <c r="BG247" s="86">
        <f t="shared" si="8"/>
        <v>4.05</v>
      </c>
      <c r="BH247" s="60"/>
      <c r="BI247" s="60"/>
      <c r="BJ247" s="60"/>
      <c r="BK247" s="60">
        <v>1033</v>
      </c>
      <c r="BL247" s="60">
        <v>263</v>
      </c>
      <c r="BM247" s="60">
        <v>91</v>
      </c>
      <c r="BN247" s="60"/>
    </row>
    <row r="248" spans="58:66" x14ac:dyDescent="0.15">
      <c r="BF248" s="60">
        <v>244</v>
      </c>
      <c r="BG248" s="86">
        <f t="shared" si="8"/>
        <v>4.0666666666666664</v>
      </c>
      <c r="BH248" s="60"/>
      <c r="BI248" s="60"/>
      <c r="BJ248" s="60"/>
      <c r="BK248" s="60">
        <v>1041</v>
      </c>
      <c r="BL248" s="60">
        <v>265</v>
      </c>
      <c r="BM248" s="60">
        <v>92</v>
      </c>
      <c r="BN248" s="60"/>
    </row>
    <row r="249" spans="58:66" x14ac:dyDescent="0.15">
      <c r="BF249" s="60">
        <v>245</v>
      </c>
      <c r="BG249" s="86">
        <f t="shared" si="8"/>
        <v>4.083333333333333</v>
      </c>
      <c r="BH249" s="60"/>
      <c r="BI249" s="60"/>
      <c r="BJ249" s="60"/>
      <c r="BK249" s="60">
        <v>1049</v>
      </c>
      <c r="BL249" s="60">
        <v>267</v>
      </c>
      <c r="BM249" s="60">
        <v>92</v>
      </c>
      <c r="BN249" s="60"/>
    </row>
    <row r="250" spans="58:66" x14ac:dyDescent="0.15">
      <c r="BF250" s="60">
        <v>246</v>
      </c>
      <c r="BG250" s="86">
        <f t="shared" si="8"/>
        <v>4.0999999999999996</v>
      </c>
      <c r="BH250" s="60"/>
      <c r="BI250" s="60"/>
      <c r="BJ250" s="60"/>
      <c r="BK250" s="60">
        <v>1057</v>
      </c>
      <c r="BL250" s="60">
        <v>269</v>
      </c>
      <c r="BM250" s="60">
        <v>93</v>
      </c>
      <c r="BN250" s="60">
        <v>21</v>
      </c>
    </row>
    <row r="251" spans="58:66" x14ac:dyDescent="0.15">
      <c r="BF251" s="60">
        <v>247</v>
      </c>
      <c r="BG251" s="86">
        <f t="shared" si="8"/>
        <v>4.1166666666666663</v>
      </c>
      <c r="BH251" s="60"/>
      <c r="BI251" s="60"/>
      <c r="BJ251" s="60"/>
      <c r="BK251" s="60">
        <v>1065</v>
      </c>
      <c r="BL251" s="60">
        <v>271</v>
      </c>
      <c r="BM251" s="60">
        <v>94</v>
      </c>
      <c r="BN251" s="60"/>
    </row>
    <row r="252" spans="58:66" x14ac:dyDescent="0.15">
      <c r="BF252" s="60">
        <v>248</v>
      </c>
      <c r="BG252" s="86">
        <f t="shared" si="8"/>
        <v>4.1333333333333337</v>
      </c>
      <c r="BH252" s="60"/>
      <c r="BI252" s="60"/>
      <c r="BJ252" s="60"/>
      <c r="BK252" s="60">
        <v>1072</v>
      </c>
      <c r="BL252" s="60">
        <v>273</v>
      </c>
      <c r="BM252" s="60">
        <v>94</v>
      </c>
      <c r="BN252" s="60"/>
    </row>
    <row r="253" spans="58:66" x14ac:dyDescent="0.15">
      <c r="BF253" s="60">
        <v>249</v>
      </c>
      <c r="BG253" s="86">
        <f t="shared" si="8"/>
        <v>4.1500000000000004</v>
      </c>
      <c r="BH253" s="60"/>
      <c r="BI253" s="60"/>
      <c r="BJ253" s="60"/>
      <c r="BK253" s="60">
        <v>1080</v>
      </c>
      <c r="BL253" s="60">
        <v>275</v>
      </c>
      <c r="BM253" s="60">
        <v>95</v>
      </c>
      <c r="BN253" s="60"/>
    </row>
    <row r="254" spans="58:66" x14ac:dyDescent="0.15">
      <c r="BF254" s="60">
        <v>250</v>
      </c>
      <c r="BG254" s="86">
        <f t="shared" si="8"/>
        <v>4.166666666666667</v>
      </c>
      <c r="BH254" s="60"/>
      <c r="BI254" s="60"/>
      <c r="BJ254" s="60"/>
      <c r="BK254" s="60">
        <v>1088</v>
      </c>
      <c r="BL254" s="60">
        <v>277</v>
      </c>
      <c r="BM254" s="60">
        <v>96</v>
      </c>
      <c r="BN254" s="60"/>
    </row>
    <row r="255" spans="58:66" x14ac:dyDescent="0.15">
      <c r="BF255" s="60">
        <v>251</v>
      </c>
      <c r="BG255" s="86">
        <f t="shared" si="8"/>
        <v>4.1833333333333336</v>
      </c>
      <c r="BH255" s="60"/>
      <c r="BI255" s="60"/>
      <c r="BJ255" s="60"/>
      <c r="BK255" s="60">
        <v>1096</v>
      </c>
      <c r="BL255" s="60">
        <v>279</v>
      </c>
      <c r="BM255" s="60">
        <v>96</v>
      </c>
      <c r="BN255" s="60"/>
    </row>
    <row r="256" spans="58:66" x14ac:dyDescent="0.15">
      <c r="BF256" s="60">
        <v>252</v>
      </c>
      <c r="BG256" s="86">
        <f t="shared" si="8"/>
        <v>4.2</v>
      </c>
      <c r="BH256" s="60"/>
      <c r="BI256" s="60"/>
      <c r="BJ256" s="60"/>
      <c r="BK256" s="60">
        <v>1105</v>
      </c>
      <c r="BL256" s="60">
        <v>281</v>
      </c>
      <c r="BM256" s="60">
        <v>97</v>
      </c>
      <c r="BN256" s="60">
        <v>22</v>
      </c>
    </row>
    <row r="257" spans="58:66" x14ac:dyDescent="0.15">
      <c r="BF257" s="60">
        <v>253</v>
      </c>
      <c r="BG257" s="86">
        <f t="shared" si="8"/>
        <v>4.2166666666666668</v>
      </c>
      <c r="BH257" s="60"/>
      <c r="BI257" s="60"/>
      <c r="BJ257" s="60"/>
      <c r="BK257" s="60">
        <v>1113</v>
      </c>
      <c r="BL257" s="60">
        <v>283</v>
      </c>
      <c r="BM257" s="60">
        <v>98</v>
      </c>
      <c r="BN257" s="60"/>
    </row>
    <row r="258" spans="58:66" x14ac:dyDescent="0.15">
      <c r="BF258" s="60">
        <v>254</v>
      </c>
      <c r="BG258" s="86">
        <f t="shared" si="8"/>
        <v>4.2333333333333334</v>
      </c>
      <c r="BH258" s="60"/>
      <c r="BI258" s="60"/>
      <c r="BJ258" s="60"/>
      <c r="BK258" s="60">
        <v>1121</v>
      </c>
      <c r="BL258" s="60">
        <v>285</v>
      </c>
      <c r="BM258" s="60">
        <v>98</v>
      </c>
      <c r="BN258" s="60"/>
    </row>
    <row r="259" spans="58:66" x14ac:dyDescent="0.15">
      <c r="BF259" s="60">
        <v>255</v>
      </c>
      <c r="BG259" s="86">
        <f t="shared" si="8"/>
        <v>4.25</v>
      </c>
      <c r="BH259" s="60"/>
      <c r="BI259" s="60"/>
      <c r="BJ259" s="60"/>
      <c r="BK259" s="60">
        <v>1129</v>
      </c>
      <c r="BL259" s="60">
        <v>287</v>
      </c>
      <c r="BM259" s="60">
        <v>99</v>
      </c>
      <c r="BN259" s="60"/>
    </row>
    <row r="260" spans="58:66" x14ac:dyDescent="0.15">
      <c r="BF260" s="60">
        <v>256</v>
      </c>
      <c r="BG260" s="86">
        <f t="shared" si="8"/>
        <v>4.2666666666666666</v>
      </c>
      <c r="BH260" s="60"/>
      <c r="BI260" s="60"/>
      <c r="BJ260" s="60"/>
      <c r="BK260" s="60">
        <v>1137</v>
      </c>
      <c r="BL260" s="60">
        <v>289</v>
      </c>
      <c r="BM260" s="60">
        <v>100</v>
      </c>
      <c r="BN260" s="60"/>
    </row>
    <row r="261" spans="58:66" x14ac:dyDescent="0.15">
      <c r="BF261" s="60">
        <v>257</v>
      </c>
      <c r="BG261" s="86">
        <f t="shared" ref="BG261:BG304" si="9">BF261/60</f>
        <v>4.2833333333333332</v>
      </c>
      <c r="BH261" s="60"/>
      <c r="BI261" s="60"/>
      <c r="BJ261" s="60"/>
      <c r="BK261" s="60">
        <v>1145</v>
      </c>
      <c r="BL261" s="60">
        <v>291</v>
      </c>
      <c r="BM261" s="60">
        <v>100</v>
      </c>
      <c r="BN261" s="60"/>
    </row>
    <row r="262" spans="58:66" x14ac:dyDescent="0.15">
      <c r="BF262" s="60">
        <v>258</v>
      </c>
      <c r="BG262" s="86">
        <f t="shared" si="9"/>
        <v>4.3</v>
      </c>
      <c r="BH262" s="60"/>
      <c r="BI262" s="60"/>
      <c r="BJ262" s="60"/>
      <c r="BK262" s="60">
        <v>1154</v>
      </c>
      <c r="BL262" s="60">
        <v>293</v>
      </c>
      <c r="BM262" s="60">
        <v>101</v>
      </c>
      <c r="BN262" s="60">
        <v>22</v>
      </c>
    </row>
    <row r="263" spans="58:66" x14ac:dyDescent="0.15">
      <c r="BF263" s="60">
        <v>259</v>
      </c>
      <c r="BG263" s="86">
        <f t="shared" si="9"/>
        <v>4.3166666666666664</v>
      </c>
      <c r="BH263" s="60"/>
      <c r="BI263" s="60"/>
      <c r="BJ263" s="60"/>
      <c r="BK263" s="60">
        <v>1162</v>
      </c>
      <c r="BL263" s="60">
        <v>296</v>
      </c>
      <c r="BM263" s="60">
        <v>102</v>
      </c>
      <c r="BN263" s="60"/>
    </row>
    <row r="264" spans="58:66" x14ac:dyDescent="0.15">
      <c r="BF264" s="60">
        <v>260</v>
      </c>
      <c r="BG264" s="86">
        <f t="shared" si="9"/>
        <v>4.333333333333333</v>
      </c>
      <c r="BH264" s="60"/>
      <c r="BI264" s="60"/>
      <c r="BJ264" s="60"/>
      <c r="BK264" s="60">
        <v>1170</v>
      </c>
      <c r="BL264" s="60">
        <v>298</v>
      </c>
      <c r="BM264" s="60">
        <v>103</v>
      </c>
      <c r="BN264" s="60"/>
    </row>
    <row r="265" spans="58:66" x14ac:dyDescent="0.15">
      <c r="BF265" s="60">
        <v>261</v>
      </c>
      <c r="BG265" s="86">
        <f t="shared" si="9"/>
        <v>4.3499999999999996</v>
      </c>
      <c r="BH265" s="60"/>
      <c r="BI265" s="60"/>
      <c r="BJ265" s="60"/>
      <c r="BK265" s="60">
        <v>1178</v>
      </c>
      <c r="BL265" s="60">
        <v>300</v>
      </c>
      <c r="BM265" s="60">
        <v>103</v>
      </c>
      <c r="BN265" s="60"/>
    </row>
    <row r="266" spans="58:66" x14ac:dyDescent="0.15">
      <c r="BF266" s="60">
        <v>262</v>
      </c>
      <c r="BG266" s="86">
        <f t="shared" si="9"/>
        <v>4.3666666666666663</v>
      </c>
      <c r="BH266" s="60"/>
      <c r="BI266" s="60"/>
      <c r="BJ266" s="60"/>
      <c r="BK266" s="60">
        <v>1187</v>
      </c>
      <c r="BL266" s="60">
        <v>302</v>
      </c>
      <c r="BM266" s="60">
        <v>104</v>
      </c>
      <c r="BN266" s="60"/>
    </row>
    <row r="267" spans="58:66" x14ac:dyDescent="0.15">
      <c r="BF267" s="60">
        <v>263</v>
      </c>
      <c r="BG267" s="86">
        <f t="shared" si="9"/>
        <v>4.3833333333333337</v>
      </c>
      <c r="BH267" s="60"/>
      <c r="BI267" s="60"/>
      <c r="BJ267" s="60"/>
      <c r="BK267" s="60">
        <v>1195</v>
      </c>
      <c r="BL267" s="60">
        <v>304</v>
      </c>
      <c r="BM267" s="60">
        <v>105</v>
      </c>
      <c r="BN267" s="60"/>
    </row>
    <row r="268" spans="58:66" x14ac:dyDescent="0.15">
      <c r="BF268" s="60">
        <v>264</v>
      </c>
      <c r="BG268" s="86">
        <f t="shared" si="9"/>
        <v>4.4000000000000004</v>
      </c>
      <c r="BH268" s="60"/>
      <c r="BI268" s="60"/>
      <c r="BJ268" s="60"/>
      <c r="BK268" s="60">
        <v>1203</v>
      </c>
      <c r="BL268" s="60">
        <v>306</v>
      </c>
      <c r="BM268" s="60">
        <v>105</v>
      </c>
      <c r="BN268" s="60">
        <v>23</v>
      </c>
    </row>
    <row r="269" spans="58:66" x14ac:dyDescent="0.15">
      <c r="BF269" s="60">
        <v>265</v>
      </c>
      <c r="BG269" s="86">
        <f t="shared" si="9"/>
        <v>4.416666666666667</v>
      </c>
      <c r="BH269" s="60"/>
      <c r="BI269" s="60"/>
      <c r="BJ269" s="60"/>
      <c r="BK269" s="60">
        <v>1212</v>
      </c>
      <c r="BL269" s="60">
        <v>308</v>
      </c>
      <c r="BM269" s="60">
        <v>106</v>
      </c>
      <c r="BN269" s="60"/>
    </row>
    <row r="270" spans="58:66" x14ac:dyDescent="0.15">
      <c r="BF270" s="60">
        <v>266</v>
      </c>
      <c r="BG270" s="86">
        <f t="shared" si="9"/>
        <v>4.4333333333333336</v>
      </c>
      <c r="BH270" s="60"/>
      <c r="BI270" s="60"/>
      <c r="BJ270" s="60"/>
      <c r="BK270" s="60">
        <v>1220</v>
      </c>
      <c r="BL270" s="60">
        <v>310</v>
      </c>
      <c r="BM270" s="60">
        <v>107</v>
      </c>
      <c r="BN270" s="60"/>
    </row>
    <row r="271" spans="58:66" x14ac:dyDescent="0.15">
      <c r="BF271" s="60">
        <v>267</v>
      </c>
      <c r="BG271" s="86">
        <f t="shared" si="9"/>
        <v>4.45</v>
      </c>
      <c r="BH271" s="60"/>
      <c r="BI271" s="60"/>
      <c r="BJ271" s="60"/>
      <c r="BK271" s="60">
        <v>1229</v>
      </c>
      <c r="BL271" s="60">
        <v>312</v>
      </c>
      <c r="BM271" s="60">
        <v>108</v>
      </c>
      <c r="BN271" s="60"/>
    </row>
    <row r="272" spans="58:66" x14ac:dyDescent="0.15">
      <c r="BF272" s="60">
        <v>268</v>
      </c>
      <c r="BG272" s="86">
        <f t="shared" si="9"/>
        <v>4.4666666666666668</v>
      </c>
      <c r="BH272" s="60"/>
      <c r="BI272" s="60"/>
      <c r="BJ272" s="60"/>
      <c r="BK272" s="60">
        <v>1237</v>
      </c>
      <c r="BL272" s="60">
        <v>315</v>
      </c>
      <c r="BM272" s="60">
        <v>108</v>
      </c>
      <c r="BN272" s="60"/>
    </row>
    <row r="273" spans="58:66" x14ac:dyDescent="0.15">
      <c r="BF273" s="60">
        <v>269</v>
      </c>
      <c r="BG273" s="86">
        <f t="shared" si="9"/>
        <v>4.4833333333333334</v>
      </c>
      <c r="BH273" s="60"/>
      <c r="BI273" s="60"/>
      <c r="BJ273" s="60"/>
      <c r="BK273" s="60">
        <v>1246</v>
      </c>
      <c r="BL273" s="60">
        <v>317</v>
      </c>
      <c r="BM273" s="60">
        <v>109</v>
      </c>
      <c r="BN273" s="60"/>
    </row>
    <row r="274" spans="58:66" x14ac:dyDescent="0.15">
      <c r="BF274" s="60">
        <v>270</v>
      </c>
      <c r="BG274" s="86">
        <f t="shared" si="9"/>
        <v>4.5</v>
      </c>
      <c r="BH274" s="60"/>
      <c r="BI274" s="60"/>
      <c r="BJ274" s="60"/>
      <c r="BK274" s="60">
        <v>1254</v>
      </c>
      <c r="BL274" s="60">
        <v>319</v>
      </c>
      <c r="BM274" s="60">
        <v>110</v>
      </c>
      <c r="BN274" s="60">
        <v>24</v>
      </c>
    </row>
    <row r="275" spans="58:66" x14ac:dyDescent="0.15">
      <c r="BF275" s="60">
        <v>271</v>
      </c>
      <c r="BG275" s="86">
        <f t="shared" si="9"/>
        <v>4.5166666666666666</v>
      </c>
      <c r="BH275" s="60"/>
      <c r="BI275" s="60"/>
      <c r="BJ275" s="60"/>
      <c r="BK275" s="60">
        <v>1263</v>
      </c>
      <c r="BL275" s="60">
        <v>321</v>
      </c>
      <c r="BM275" s="60">
        <v>111</v>
      </c>
      <c r="BN275" s="60"/>
    </row>
    <row r="276" spans="58:66" x14ac:dyDescent="0.15">
      <c r="BF276" s="60">
        <v>272</v>
      </c>
      <c r="BG276" s="86">
        <f t="shared" si="9"/>
        <v>4.5333333333333332</v>
      </c>
      <c r="BH276" s="60"/>
      <c r="BI276" s="60"/>
      <c r="BJ276" s="60"/>
      <c r="BK276" s="60">
        <v>1272</v>
      </c>
      <c r="BL276" s="60">
        <v>323</v>
      </c>
      <c r="BM276" s="60">
        <v>111</v>
      </c>
      <c r="BN276" s="60"/>
    </row>
    <row r="277" spans="58:66" x14ac:dyDescent="0.15">
      <c r="BF277" s="60">
        <v>273</v>
      </c>
      <c r="BG277" s="86">
        <f t="shared" si="9"/>
        <v>4.55</v>
      </c>
      <c r="BH277" s="60"/>
      <c r="BI277" s="60"/>
      <c r="BJ277" s="60"/>
      <c r="BK277" s="60">
        <v>1280</v>
      </c>
      <c r="BL277" s="60">
        <v>325</v>
      </c>
      <c r="BM277" s="60">
        <v>112</v>
      </c>
      <c r="BN277" s="60"/>
    </row>
    <row r="278" spans="58:66" x14ac:dyDescent="0.15">
      <c r="BF278" s="60">
        <v>274</v>
      </c>
      <c r="BG278" s="86">
        <f t="shared" si="9"/>
        <v>4.5666666666666664</v>
      </c>
      <c r="BH278" s="60"/>
      <c r="BI278" s="60"/>
      <c r="BJ278" s="60"/>
      <c r="BK278" s="60">
        <v>1289</v>
      </c>
      <c r="BL278" s="60">
        <v>327</v>
      </c>
      <c r="BM278" s="60">
        <v>113</v>
      </c>
      <c r="BN278" s="60"/>
    </row>
    <row r="279" spans="58:66" x14ac:dyDescent="0.15">
      <c r="BF279" s="60">
        <v>275</v>
      </c>
      <c r="BG279" s="86">
        <f t="shared" si="9"/>
        <v>4.583333333333333</v>
      </c>
      <c r="BH279" s="60"/>
      <c r="BI279" s="60"/>
      <c r="BJ279" s="60"/>
      <c r="BK279" s="60">
        <v>1298</v>
      </c>
      <c r="BL279" s="60">
        <v>330</v>
      </c>
      <c r="BM279" s="60">
        <v>114</v>
      </c>
      <c r="BN279" s="60"/>
    </row>
    <row r="280" spans="58:66" x14ac:dyDescent="0.15">
      <c r="BF280" s="60">
        <v>276</v>
      </c>
      <c r="BG280" s="86">
        <f t="shared" si="9"/>
        <v>4.5999999999999996</v>
      </c>
      <c r="BH280" s="60"/>
      <c r="BI280" s="60"/>
      <c r="BJ280" s="60"/>
      <c r="BK280" s="60">
        <v>1306</v>
      </c>
      <c r="BL280" s="60">
        <v>332</v>
      </c>
      <c r="BM280" s="60">
        <v>114</v>
      </c>
      <c r="BN280" s="60">
        <v>25</v>
      </c>
    </row>
    <row r="281" spans="58:66" x14ac:dyDescent="0.15">
      <c r="BF281" s="60">
        <v>277</v>
      </c>
      <c r="BG281" s="86">
        <f t="shared" si="9"/>
        <v>4.6166666666666663</v>
      </c>
      <c r="BH281" s="60"/>
      <c r="BI281" s="60"/>
      <c r="BJ281" s="60"/>
      <c r="BK281" s="60">
        <v>1315</v>
      </c>
      <c r="BL281" s="60">
        <v>334</v>
      </c>
      <c r="BM281" s="60">
        <v>115</v>
      </c>
      <c r="BN281" s="60"/>
    </row>
    <row r="282" spans="58:66" x14ac:dyDescent="0.15">
      <c r="BF282" s="60">
        <v>278</v>
      </c>
      <c r="BG282" s="86">
        <f t="shared" si="9"/>
        <v>4.6333333333333337</v>
      </c>
      <c r="BH282" s="60"/>
      <c r="BI282" s="60"/>
      <c r="BJ282" s="60"/>
      <c r="BK282" s="60">
        <v>1324</v>
      </c>
      <c r="BL282" s="60">
        <v>336</v>
      </c>
      <c r="BM282" s="60">
        <v>116</v>
      </c>
      <c r="BN282" s="60"/>
    </row>
    <row r="283" spans="58:66" x14ac:dyDescent="0.15">
      <c r="BF283" s="60">
        <v>279</v>
      </c>
      <c r="BG283" s="86">
        <f t="shared" si="9"/>
        <v>4.6500000000000004</v>
      </c>
      <c r="BH283" s="60"/>
      <c r="BI283" s="60"/>
      <c r="BJ283" s="60"/>
      <c r="BK283" s="60">
        <v>1333</v>
      </c>
      <c r="BL283" s="60">
        <v>338</v>
      </c>
      <c r="BM283" s="60">
        <v>117</v>
      </c>
      <c r="BN283" s="60"/>
    </row>
    <row r="284" spans="58:66" x14ac:dyDescent="0.15">
      <c r="BF284" s="60">
        <v>280</v>
      </c>
      <c r="BG284" s="86">
        <f t="shared" si="9"/>
        <v>4.666666666666667</v>
      </c>
      <c r="BH284" s="60"/>
      <c r="BI284" s="60"/>
      <c r="BJ284" s="60"/>
      <c r="BK284" s="60">
        <v>1342</v>
      </c>
      <c r="BL284" s="60">
        <v>341</v>
      </c>
      <c r="BM284" s="60">
        <v>117</v>
      </c>
      <c r="BN284" s="60"/>
    </row>
    <row r="285" spans="58:66" x14ac:dyDescent="0.15">
      <c r="BF285" s="60">
        <v>281</v>
      </c>
      <c r="BG285" s="86">
        <f t="shared" si="9"/>
        <v>4.6833333333333336</v>
      </c>
      <c r="BH285" s="60"/>
      <c r="BI285" s="60"/>
      <c r="BJ285" s="60"/>
      <c r="BK285" s="60">
        <v>1350</v>
      </c>
      <c r="BL285" s="60">
        <v>343</v>
      </c>
      <c r="BM285" s="60">
        <v>118</v>
      </c>
      <c r="BN285" s="60"/>
    </row>
    <row r="286" spans="58:66" x14ac:dyDescent="0.15">
      <c r="BF286" s="60">
        <v>282</v>
      </c>
      <c r="BG286" s="86">
        <f t="shared" si="9"/>
        <v>4.7</v>
      </c>
      <c r="BH286" s="60"/>
      <c r="BI286" s="60"/>
      <c r="BJ286" s="60"/>
      <c r="BK286" s="60">
        <v>1359</v>
      </c>
      <c r="BL286" s="60">
        <v>345</v>
      </c>
      <c r="BM286" s="60">
        <v>119</v>
      </c>
      <c r="BN286" s="60">
        <v>27</v>
      </c>
    </row>
    <row r="287" spans="58:66" x14ac:dyDescent="0.15">
      <c r="BF287" s="60">
        <v>283</v>
      </c>
      <c r="BG287" s="86">
        <f t="shared" si="9"/>
        <v>4.7166666666666668</v>
      </c>
      <c r="BH287" s="60"/>
      <c r="BI287" s="60"/>
      <c r="BJ287" s="60"/>
      <c r="BK287" s="60">
        <v>1368</v>
      </c>
      <c r="BL287" s="60">
        <v>347</v>
      </c>
      <c r="BM287" s="60">
        <v>120</v>
      </c>
      <c r="BN287" s="60"/>
    </row>
    <row r="288" spans="58:66" x14ac:dyDescent="0.15">
      <c r="BF288" s="60">
        <v>284</v>
      </c>
      <c r="BG288" s="86">
        <f t="shared" si="9"/>
        <v>4.7333333333333334</v>
      </c>
      <c r="BH288" s="60"/>
      <c r="BI288" s="60"/>
      <c r="BJ288" s="60"/>
      <c r="BK288" s="60">
        <v>1377</v>
      </c>
      <c r="BL288" s="60">
        <v>350</v>
      </c>
      <c r="BM288" s="60">
        <v>120</v>
      </c>
      <c r="BN288" s="60"/>
    </row>
    <row r="289" spans="58:66" x14ac:dyDescent="0.15">
      <c r="BF289" s="60">
        <v>285</v>
      </c>
      <c r="BG289" s="86">
        <f t="shared" si="9"/>
        <v>4.75</v>
      </c>
      <c r="BH289" s="60"/>
      <c r="BI289" s="60"/>
      <c r="BJ289" s="60"/>
      <c r="BK289" s="60">
        <v>1386</v>
      </c>
      <c r="BL289" s="60">
        <v>352</v>
      </c>
      <c r="BM289" s="60">
        <v>121</v>
      </c>
      <c r="BN289" s="60"/>
    </row>
    <row r="290" spans="58:66" x14ac:dyDescent="0.15">
      <c r="BF290" s="60">
        <v>286</v>
      </c>
      <c r="BG290" s="86">
        <f t="shared" si="9"/>
        <v>4.7666666666666666</v>
      </c>
      <c r="BH290" s="60"/>
      <c r="BI290" s="60"/>
      <c r="BJ290" s="60"/>
      <c r="BK290" s="60">
        <v>1395</v>
      </c>
      <c r="BL290" s="60">
        <v>354</v>
      </c>
      <c r="BM290" s="60">
        <v>122</v>
      </c>
      <c r="BN290" s="60"/>
    </row>
    <row r="291" spans="58:66" x14ac:dyDescent="0.15">
      <c r="BF291" s="60">
        <v>287</v>
      </c>
      <c r="BG291" s="86">
        <f t="shared" si="9"/>
        <v>4.7833333333333332</v>
      </c>
      <c r="BH291" s="60"/>
      <c r="BI291" s="60"/>
      <c r="BJ291" s="60"/>
      <c r="BK291" s="60">
        <v>1404</v>
      </c>
      <c r="BL291" s="60">
        <v>356</v>
      </c>
      <c r="BM291" s="60">
        <v>123</v>
      </c>
      <c r="BN291" s="60"/>
    </row>
    <row r="292" spans="58:66" x14ac:dyDescent="0.15">
      <c r="BF292" s="60">
        <v>288</v>
      </c>
      <c r="BG292" s="86">
        <f t="shared" si="9"/>
        <v>4.8</v>
      </c>
      <c r="BH292" s="60"/>
      <c r="BI292" s="60"/>
      <c r="BJ292" s="60"/>
      <c r="BK292" s="60">
        <v>1413</v>
      </c>
      <c r="BL292" s="60">
        <v>359</v>
      </c>
      <c r="BM292" s="60">
        <v>123</v>
      </c>
      <c r="BN292" s="60">
        <v>28</v>
      </c>
    </row>
    <row r="293" spans="58:66" x14ac:dyDescent="0.15">
      <c r="BF293" s="60">
        <v>289</v>
      </c>
      <c r="BG293" s="86">
        <f t="shared" si="9"/>
        <v>4.8166666666666664</v>
      </c>
      <c r="BH293" s="60"/>
      <c r="BI293" s="60"/>
      <c r="BJ293" s="60"/>
      <c r="BK293" s="60">
        <v>1422</v>
      </c>
      <c r="BL293" s="60">
        <v>361</v>
      </c>
      <c r="BM293" s="60">
        <v>124</v>
      </c>
      <c r="BN293" s="60"/>
    </row>
    <row r="294" spans="58:66" x14ac:dyDescent="0.15">
      <c r="BF294" s="60">
        <v>290</v>
      </c>
      <c r="BG294" s="86">
        <f t="shared" si="9"/>
        <v>4.833333333333333</v>
      </c>
      <c r="BH294" s="60"/>
      <c r="BI294" s="60"/>
      <c r="BJ294" s="60"/>
      <c r="BK294" s="60">
        <v>1432</v>
      </c>
      <c r="BL294" s="60">
        <v>363</v>
      </c>
      <c r="BM294" s="60">
        <v>125</v>
      </c>
      <c r="BN294" s="60"/>
    </row>
    <row r="295" spans="58:66" x14ac:dyDescent="0.15">
      <c r="BF295" s="60">
        <v>291</v>
      </c>
      <c r="BG295" s="86">
        <f t="shared" si="9"/>
        <v>4.8499999999999996</v>
      </c>
      <c r="BH295" s="60"/>
      <c r="BI295" s="60"/>
      <c r="BJ295" s="60"/>
      <c r="BK295" s="60">
        <v>1441</v>
      </c>
      <c r="BL295" s="60">
        <v>366</v>
      </c>
      <c r="BM295" s="60">
        <v>126</v>
      </c>
      <c r="BN295" s="60"/>
    </row>
    <row r="296" spans="58:66" x14ac:dyDescent="0.15">
      <c r="BF296" s="60">
        <v>292</v>
      </c>
      <c r="BG296" s="86">
        <f t="shared" si="9"/>
        <v>4.8666666666666663</v>
      </c>
      <c r="BH296" s="60"/>
      <c r="BI296" s="60"/>
      <c r="BJ296" s="60"/>
      <c r="BK296" s="60">
        <v>1450</v>
      </c>
      <c r="BL296" s="60">
        <v>368</v>
      </c>
      <c r="BM296" s="60">
        <v>127</v>
      </c>
      <c r="BN296" s="60"/>
    </row>
    <row r="297" spans="58:66" x14ac:dyDescent="0.15">
      <c r="BF297" s="60">
        <v>293</v>
      </c>
      <c r="BG297" s="86">
        <f t="shared" si="9"/>
        <v>4.8833333333333337</v>
      </c>
      <c r="BH297" s="60"/>
      <c r="BI297" s="60"/>
      <c r="BJ297" s="60"/>
      <c r="BK297" s="60">
        <v>1459</v>
      </c>
      <c r="BL297" s="60">
        <v>370</v>
      </c>
      <c r="BM297" s="60">
        <v>127</v>
      </c>
      <c r="BN297" s="60"/>
    </row>
    <row r="298" spans="58:66" x14ac:dyDescent="0.15">
      <c r="BF298" s="60">
        <v>294</v>
      </c>
      <c r="BG298" s="86">
        <f t="shared" si="9"/>
        <v>4.9000000000000004</v>
      </c>
      <c r="BH298" s="60"/>
      <c r="BI298" s="60"/>
      <c r="BJ298" s="60"/>
      <c r="BK298" s="60">
        <v>1468</v>
      </c>
      <c r="BL298" s="60">
        <v>372</v>
      </c>
      <c r="BM298" s="60">
        <v>128</v>
      </c>
      <c r="BN298" s="60">
        <v>29</v>
      </c>
    </row>
    <row r="299" spans="58:66" x14ac:dyDescent="0.15">
      <c r="BF299" s="60">
        <v>295</v>
      </c>
      <c r="BG299" s="86">
        <f t="shared" si="9"/>
        <v>4.916666666666667</v>
      </c>
      <c r="BH299" s="60"/>
      <c r="BI299" s="60"/>
      <c r="BJ299" s="60"/>
      <c r="BK299" s="60">
        <v>1478</v>
      </c>
      <c r="BL299" s="60">
        <v>375</v>
      </c>
      <c r="BM299" s="60">
        <v>129</v>
      </c>
      <c r="BN299" s="60"/>
    </row>
    <row r="300" spans="58:66" x14ac:dyDescent="0.15">
      <c r="BF300" s="60">
        <v>296</v>
      </c>
      <c r="BG300" s="86">
        <f t="shared" si="9"/>
        <v>4.9333333333333336</v>
      </c>
      <c r="BH300" s="60"/>
      <c r="BI300" s="60"/>
      <c r="BJ300" s="60"/>
      <c r="BK300" s="60">
        <v>1487</v>
      </c>
      <c r="BL300" s="60">
        <v>377</v>
      </c>
      <c r="BM300" s="60">
        <v>130</v>
      </c>
      <c r="BN300" s="60"/>
    </row>
    <row r="301" spans="58:66" x14ac:dyDescent="0.15">
      <c r="BF301" s="60">
        <v>297</v>
      </c>
      <c r="BG301" s="86">
        <f t="shared" si="9"/>
        <v>4.95</v>
      </c>
      <c r="BH301" s="60"/>
      <c r="BI301" s="60"/>
      <c r="BJ301" s="60"/>
      <c r="BK301" s="60">
        <v>1496</v>
      </c>
      <c r="BL301" s="60">
        <v>379</v>
      </c>
      <c r="BM301" s="60">
        <v>131</v>
      </c>
      <c r="BN301" s="60"/>
    </row>
    <row r="302" spans="58:66" x14ac:dyDescent="0.15">
      <c r="BF302" s="60">
        <v>298</v>
      </c>
      <c r="BG302" s="86">
        <f t="shared" si="9"/>
        <v>4.9666666666666668</v>
      </c>
      <c r="BH302" s="60"/>
      <c r="BI302" s="60"/>
      <c r="BJ302" s="60"/>
      <c r="BK302" s="60">
        <v>1505</v>
      </c>
      <c r="BL302" s="60">
        <v>382</v>
      </c>
      <c r="BM302" s="60">
        <v>131</v>
      </c>
      <c r="BN302" s="60"/>
    </row>
    <row r="303" spans="58:66" x14ac:dyDescent="0.15">
      <c r="BF303" s="60">
        <v>299</v>
      </c>
      <c r="BG303" s="86">
        <f t="shared" si="9"/>
        <v>4.9833333333333334</v>
      </c>
      <c r="BH303" s="60"/>
      <c r="BI303" s="60"/>
      <c r="BJ303" s="60"/>
      <c r="BK303" s="60">
        <v>1515</v>
      </c>
      <c r="BL303" s="60">
        <v>384</v>
      </c>
      <c r="BM303" s="60">
        <v>132</v>
      </c>
      <c r="BN303" s="60"/>
    </row>
    <row r="304" spans="58:66" x14ac:dyDescent="0.15">
      <c r="BF304" s="60">
        <v>300</v>
      </c>
      <c r="BG304" s="86">
        <f t="shared" si="9"/>
        <v>5</v>
      </c>
      <c r="BH304" s="60"/>
      <c r="BI304" s="60"/>
      <c r="BJ304" s="60"/>
      <c r="BK304" s="60">
        <v>1524</v>
      </c>
      <c r="BL304" s="60">
        <v>386</v>
      </c>
      <c r="BM304" s="60">
        <v>133</v>
      </c>
      <c r="BN304" s="60">
        <v>30</v>
      </c>
    </row>
  </sheetData>
  <sheetProtection password="CC1F" sheet="1" objects="1" scenarios="1"/>
  <mergeCells count="214">
    <mergeCell ref="BW15:BW17"/>
    <mergeCell ref="BX15:BX17"/>
    <mergeCell ref="BX18:BX20"/>
    <mergeCell ref="BW18:BW20"/>
    <mergeCell ref="CB17:CB18"/>
    <mergeCell ref="CB9:CB11"/>
    <mergeCell ref="BY15:BY17"/>
    <mergeCell ref="BY18:BY20"/>
    <mergeCell ref="BZ15:BZ17"/>
    <mergeCell ref="BZ18:BZ20"/>
    <mergeCell ref="BY7:BY8"/>
    <mergeCell ref="BU12:BU14"/>
    <mergeCell ref="BW12:BW13"/>
    <mergeCell ref="BX12:BX13"/>
    <mergeCell ref="BZ5:BZ6"/>
    <mergeCell ref="BZ7:BZ8"/>
    <mergeCell ref="BZ12:BZ13"/>
    <mergeCell ref="BU4:BU9"/>
    <mergeCell ref="BU10:BU11"/>
    <mergeCell ref="BW5:BW6"/>
    <mergeCell ref="BV5:BV6"/>
    <mergeCell ref="BW7:BW8"/>
    <mergeCell ref="BY12:BY13"/>
    <mergeCell ref="BX5:BX6"/>
    <mergeCell ref="BX7:BX8"/>
    <mergeCell ref="BV7:BV9"/>
    <mergeCell ref="BV10:BV11"/>
    <mergeCell ref="BV15:BV17"/>
    <mergeCell ref="BV18:BV20"/>
    <mergeCell ref="BU15:BU20"/>
    <mergeCell ref="BQ7:BQ10"/>
    <mergeCell ref="BR7:BR12"/>
    <mergeCell ref="BS7:BS12"/>
    <mergeCell ref="BF3:BF4"/>
    <mergeCell ref="BH3:BN3"/>
    <mergeCell ref="BG3:BG4"/>
    <mergeCell ref="BD3:BD4"/>
    <mergeCell ref="CB4:CB5"/>
    <mergeCell ref="CB6:CB8"/>
    <mergeCell ref="BV12:BV14"/>
    <mergeCell ref="BY5:BY6"/>
    <mergeCell ref="BC3:BC4"/>
    <mergeCell ref="AR3:AR4"/>
    <mergeCell ref="A3:A4"/>
    <mergeCell ref="B3:C3"/>
    <mergeCell ref="P3:P4"/>
    <mergeCell ref="Q3:Q4"/>
    <mergeCell ref="R3:S3"/>
    <mergeCell ref="AU3:AU4"/>
    <mergeCell ref="AP3:AP4"/>
    <mergeCell ref="AS3:AT3"/>
    <mergeCell ref="AQ3:AQ4"/>
    <mergeCell ref="AV3:AV4"/>
    <mergeCell ref="AW3:AW4"/>
    <mergeCell ref="AZ3:BA3"/>
    <mergeCell ref="BB3:BB4"/>
    <mergeCell ref="AX3:AX4"/>
    <mergeCell ref="AY3:AY4"/>
    <mergeCell ref="G3:I3"/>
    <mergeCell ref="K3:L4"/>
    <mergeCell ref="M3:N3"/>
    <mergeCell ref="E3:E4"/>
    <mergeCell ref="F3:F4"/>
    <mergeCell ref="E31:E33"/>
    <mergeCell ref="I32:I33"/>
    <mergeCell ref="E34:E41"/>
    <mergeCell ref="F34:F35"/>
    <mergeCell ref="F38:F39"/>
    <mergeCell ref="F16:F18"/>
    <mergeCell ref="I16:I17"/>
    <mergeCell ref="E19:E22"/>
    <mergeCell ref="I19:I20"/>
    <mergeCell ref="F21:F22"/>
    <mergeCell ref="E23:E28"/>
    <mergeCell ref="F23:F24"/>
    <mergeCell ref="I23:I24"/>
    <mergeCell ref="I26:I27"/>
    <mergeCell ref="E5:E18"/>
    <mergeCell ref="F5:F7"/>
    <mergeCell ref="I5:I6"/>
    <mergeCell ref="F8:F10"/>
    <mergeCell ref="I8:I9"/>
    <mergeCell ref="F11:F12"/>
    <mergeCell ref="F13:F15"/>
    <mergeCell ref="I13:I15"/>
    <mergeCell ref="E29:E30"/>
    <mergeCell ref="F65:F66"/>
    <mergeCell ref="I65:I66"/>
    <mergeCell ref="E42:E50"/>
    <mergeCell ref="F42:F43"/>
    <mergeCell ref="I42:I43"/>
    <mergeCell ref="E51:E56"/>
    <mergeCell ref="F51:F52"/>
    <mergeCell ref="I51:I52"/>
    <mergeCell ref="F53:F54"/>
    <mergeCell ref="I53:I54"/>
    <mergeCell ref="E76:E78"/>
    <mergeCell ref="K5:K8"/>
    <mergeCell ref="M6:N6"/>
    <mergeCell ref="M8:N8"/>
    <mergeCell ref="K9:K16"/>
    <mergeCell ref="M9:N9"/>
    <mergeCell ref="L10:L11"/>
    <mergeCell ref="M10:N10"/>
    <mergeCell ref="M11:N11"/>
    <mergeCell ref="L12:L16"/>
    <mergeCell ref="E68:E71"/>
    <mergeCell ref="F68:F69"/>
    <mergeCell ref="I68:I69"/>
    <mergeCell ref="F70:F71"/>
    <mergeCell ref="I70:I71"/>
    <mergeCell ref="E72:E75"/>
    <mergeCell ref="F72:F73"/>
    <mergeCell ref="F74:F75"/>
    <mergeCell ref="I74:I75"/>
    <mergeCell ref="E57:E58"/>
    <mergeCell ref="I57:I58"/>
    <mergeCell ref="E59:E66"/>
    <mergeCell ref="I61:I62"/>
    <mergeCell ref="F62:F63"/>
    <mergeCell ref="M12:N12"/>
    <mergeCell ref="M13:N13"/>
    <mergeCell ref="M14:N14"/>
    <mergeCell ref="M15:N15"/>
    <mergeCell ref="M16:N16"/>
    <mergeCell ref="K17:K22"/>
    <mergeCell ref="M17:N17"/>
    <mergeCell ref="L18:L19"/>
    <mergeCell ref="M18:N18"/>
    <mergeCell ref="M19:N19"/>
    <mergeCell ref="M34:N34"/>
    <mergeCell ref="M20:N20"/>
    <mergeCell ref="M21:N22"/>
    <mergeCell ref="K35:K38"/>
    <mergeCell ref="L35:L37"/>
    <mergeCell ref="M35:N35"/>
    <mergeCell ref="M36:N36"/>
    <mergeCell ref="M37:N37"/>
    <mergeCell ref="M38:N38"/>
    <mergeCell ref="K23:K24"/>
    <mergeCell ref="M23:M24"/>
    <mergeCell ref="K25:K34"/>
    <mergeCell ref="M25:N25"/>
    <mergeCell ref="L26:L27"/>
    <mergeCell ref="M26:N26"/>
    <mergeCell ref="M27:N27"/>
    <mergeCell ref="M28:N28"/>
    <mergeCell ref="M29:N29"/>
    <mergeCell ref="L30:L34"/>
    <mergeCell ref="M30:N30"/>
    <mergeCell ref="M31:N31"/>
    <mergeCell ref="M32:N32"/>
    <mergeCell ref="M33:N33"/>
    <mergeCell ref="M39:N39"/>
    <mergeCell ref="M40:N40"/>
    <mergeCell ref="M41:N41"/>
    <mergeCell ref="M59:N59"/>
    <mergeCell ref="M60:N60"/>
    <mergeCell ref="K61:K62"/>
    <mergeCell ref="M61:N61"/>
    <mergeCell ref="M62:N62"/>
    <mergeCell ref="K39:K60"/>
    <mergeCell ref="L39:L43"/>
    <mergeCell ref="L53:L54"/>
    <mergeCell ref="M53:M54"/>
    <mergeCell ref="M55:N55"/>
    <mergeCell ref="M56:N56"/>
    <mergeCell ref="L57:L58"/>
    <mergeCell ref="M57:N57"/>
    <mergeCell ref="M58:N58"/>
    <mergeCell ref="M42:N42"/>
    <mergeCell ref="M43:N43"/>
    <mergeCell ref="L46:L47"/>
    <mergeCell ref="N46:N47"/>
    <mergeCell ref="M50:N50"/>
    <mergeCell ref="M51:N51"/>
    <mergeCell ref="M49:N49"/>
    <mergeCell ref="M72:N72"/>
    <mergeCell ref="M73:N73"/>
    <mergeCell ref="K74:K81"/>
    <mergeCell ref="M74:N74"/>
    <mergeCell ref="L75:L81"/>
    <mergeCell ref="M75:N75"/>
    <mergeCell ref="M76:N76"/>
    <mergeCell ref="M77:N77"/>
    <mergeCell ref="M78:N78"/>
    <mergeCell ref="M79:N79"/>
    <mergeCell ref="K63:K73"/>
    <mergeCell ref="M63:N63"/>
    <mergeCell ref="M64:N64"/>
    <mergeCell ref="M65:N65"/>
    <mergeCell ref="L66:L67"/>
    <mergeCell ref="M66:N66"/>
    <mergeCell ref="M67:N67"/>
    <mergeCell ref="M68:N68"/>
    <mergeCell ref="M69:N69"/>
    <mergeCell ref="N70:N71"/>
    <mergeCell ref="M88:N88"/>
    <mergeCell ref="L89:L90"/>
    <mergeCell ref="M89:M90"/>
    <mergeCell ref="K91:K93"/>
    <mergeCell ref="L91:N91"/>
    <mergeCell ref="L92:N92"/>
    <mergeCell ref="L93:N93"/>
    <mergeCell ref="M80:N80"/>
    <mergeCell ref="M81:N81"/>
    <mergeCell ref="K82:K90"/>
    <mergeCell ref="M82:N82"/>
    <mergeCell ref="M83:N83"/>
    <mergeCell ref="M84:N84"/>
    <mergeCell ref="L85:L88"/>
    <mergeCell ref="M85:N85"/>
    <mergeCell ref="M86:N86"/>
    <mergeCell ref="M87:N87"/>
  </mergeCells>
  <phoneticPr fontId="3"/>
  <dataValidations count="1">
    <dataValidation type="list" allowBlank="1" showInputMessage="1" showErrorMessage="1" promptTitle="流速計数" prompt="通常は110" sqref="AN2">
      <formula1>流速計数</formula1>
    </dataValidation>
  </dataValidations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56"/>
  <sheetViews>
    <sheetView showGridLines="0" showRowColHeaders="0" zoomScale="80" zoomScaleNormal="80" workbookViewId="0">
      <selection activeCell="D17" sqref="D17"/>
    </sheetView>
  </sheetViews>
  <sheetFormatPr defaultColWidth="12.5" defaultRowHeight="12" x14ac:dyDescent="0.15"/>
  <cols>
    <col min="1" max="1" width="3.125" style="144" customWidth="1"/>
    <col min="2" max="4" width="12.5" style="126" customWidth="1"/>
    <col min="5" max="6" width="9" style="126" customWidth="1"/>
    <col min="7" max="7" width="2.5" style="126" customWidth="1"/>
    <col min="8" max="9" width="9" style="126" customWidth="1"/>
    <col min="10" max="10" width="17.125" style="126" bestFit="1" customWidth="1"/>
    <col min="11" max="11" width="2.5" style="126" customWidth="1"/>
    <col min="12" max="254" width="9" style="126" customWidth="1"/>
    <col min="255" max="255" width="3.125" style="126" customWidth="1"/>
    <col min="256" max="16384" width="12.5" style="126"/>
  </cols>
  <sheetData>
    <row r="1" spans="1:13" x14ac:dyDescent="0.15">
      <c r="A1" s="124" t="s">
        <v>144</v>
      </c>
      <c r="B1" s="427" t="s">
        <v>138</v>
      </c>
      <c r="C1" s="427"/>
      <c r="D1" s="427"/>
      <c r="E1" s="427"/>
      <c r="F1" s="125"/>
      <c r="G1" s="125"/>
      <c r="H1" s="125"/>
      <c r="I1" s="125"/>
      <c r="J1" s="125"/>
      <c r="K1" s="125"/>
      <c r="L1" s="125"/>
      <c r="M1" s="125"/>
    </row>
    <row r="2" spans="1:13" x14ac:dyDescent="0.15">
      <c r="A2" s="124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3" x14ac:dyDescent="0.15">
      <c r="A3" s="124"/>
      <c r="B3" s="127" t="s">
        <v>79</v>
      </c>
      <c r="C3" s="127" t="s">
        <v>82</v>
      </c>
      <c r="D3" s="127" t="s">
        <v>80</v>
      </c>
      <c r="E3" s="127" t="s">
        <v>81</v>
      </c>
      <c r="F3" s="127" t="s">
        <v>93</v>
      </c>
      <c r="G3" s="125"/>
      <c r="H3" s="128" t="s">
        <v>83</v>
      </c>
      <c r="I3" s="128" t="s">
        <v>84</v>
      </c>
      <c r="J3" s="128" t="s">
        <v>85</v>
      </c>
      <c r="K3" s="125"/>
      <c r="L3" s="125"/>
      <c r="M3" s="125"/>
    </row>
    <row r="4" spans="1:13" x14ac:dyDescent="0.15">
      <c r="A4" s="124"/>
      <c r="B4" s="127">
        <f>C4*60</f>
        <v>474</v>
      </c>
      <c r="C4" s="160">
        <v>7.9</v>
      </c>
      <c r="D4" s="160">
        <v>100</v>
      </c>
      <c r="E4" s="160">
        <v>1</v>
      </c>
      <c r="F4" s="161">
        <v>110</v>
      </c>
      <c r="G4" s="125"/>
      <c r="H4" s="127" t="s">
        <v>1</v>
      </c>
      <c r="I4" s="127" t="s">
        <v>42</v>
      </c>
      <c r="J4" s="129">
        <f>B4/1000/60</f>
        <v>7.899999999999999E-3</v>
      </c>
      <c r="K4" s="125"/>
      <c r="L4" s="125"/>
      <c r="M4" s="125"/>
    </row>
    <row r="5" spans="1:13" x14ac:dyDescent="0.15">
      <c r="A5" s="124"/>
      <c r="B5" s="125"/>
      <c r="C5" s="125"/>
      <c r="D5" s="125"/>
      <c r="E5" s="125"/>
      <c r="F5" s="125"/>
      <c r="G5" s="125"/>
      <c r="H5" s="127" t="s">
        <v>86</v>
      </c>
      <c r="I5" s="127" t="s">
        <v>87</v>
      </c>
      <c r="J5" s="130">
        <f>PI()*(D4/1000)^2/4</f>
        <v>7.8539816339744835E-3</v>
      </c>
      <c r="K5" s="125"/>
      <c r="L5" s="125"/>
      <c r="M5" s="125"/>
    </row>
    <row r="6" spans="1:13" x14ac:dyDescent="0.15">
      <c r="A6" s="124"/>
      <c r="B6" s="125" t="s">
        <v>88</v>
      </c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</row>
    <row r="7" spans="1:13" x14ac:dyDescent="0.15">
      <c r="A7" s="124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</row>
    <row r="8" spans="1:13" x14ac:dyDescent="0.15">
      <c r="A8" s="124"/>
      <c r="B8" s="128" t="s">
        <v>83</v>
      </c>
      <c r="C8" s="128" t="s">
        <v>84</v>
      </c>
      <c r="D8" s="128" t="s">
        <v>85</v>
      </c>
      <c r="E8" s="129"/>
      <c r="F8" s="125"/>
      <c r="G8" s="125"/>
      <c r="H8" s="125"/>
      <c r="I8" s="125"/>
      <c r="J8" s="125"/>
      <c r="K8" s="125"/>
      <c r="L8" s="125"/>
      <c r="M8" s="125"/>
    </row>
    <row r="9" spans="1:13" x14ac:dyDescent="0.15">
      <c r="A9" s="124"/>
      <c r="B9" s="127" t="s">
        <v>89</v>
      </c>
      <c r="C9" s="127" t="s">
        <v>90</v>
      </c>
      <c r="D9" s="131">
        <f>J4/J5</f>
        <v>1.0058592403407784</v>
      </c>
      <c r="E9" s="129" t="str">
        <f>IF(D9&lt;2,"ok","out")</f>
        <v>ok</v>
      </c>
      <c r="F9" s="125"/>
      <c r="G9" s="125"/>
      <c r="H9" s="125"/>
      <c r="I9" s="125"/>
      <c r="J9" s="125"/>
      <c r="K9" s="125"/>
      <c r="L9" s="125"/>
      <c r="M9" s="125"/>
    </row>
    <row r="10" spans="1:13" x14ac:dyDescent="0.15">
      <c r="A10" s="124"/>
      <c r="B10" s="128" t="s">
        <v>19</v>
      </c>
      <c r="C10" s="127" t="s">
        <v>36</v>
      </c>
      <c r="D10" s="131">
        <f>10.666*F4^-1.85*(D4/1000)^-4.87*J4^1.85</f>
        <v>1.7062207948608708E-2</v>
      </c>
      <c r="E10" s="129">
        <f>ROUND(D10*1000,1)</f>
        <v>17.100000000000001</v>
      </c>
      <c r="F10" s="125"/>
      <c r="G10" s="125"/>
      <c r="H10" s="125"/>
      <c r="I10" s="125"/>
      <c r="J10" s="125"/>
      <c r="K10" s="125"/>
      <c r="L10" s="125"/>
      <c r="M10" s="125"/>
    </row>
    <row r="11" spans="1:13" x14ac:dyDescent="0.15">
      <c r="A11" s="124"/>
      <c r="B11" s="128" t="s">
        <v>91</v>
      </c>
      <c r="C11" s="127" t="s">
        <v>92</v>
      </c>
      <c r="D11" s="131">
        <f>D10*E4</f>
        <v>1.7062207948608708E-2</v>
      </c>
      <c r="E11" s="129"/>
      <c r="F11" s="132"/>
      <c r="G11" s="125"/>
      <c r="H11" s="125"/>
      <c r="I11" s="125"/>
      <c r="J11" s="125"/>
      <c r="K11" s="125"/>
      <c r="L11" s="125"/>
      <c r="M11" s="125"/>
    </row>
    <row r="12" spans="1:13" x14ac:dyDescent="0.15">
      <c r="A12" s="124"/>
      <c r="B12" s="133"/>
      <c r="C12" s="133"/>
      <c r="D12" s="134"/>
      <c r="E12" s="135"/>
      <c r="F12" s="132"/>
      <c r="G12" s="125"/>
      <c r="H12" s="125"/>
      <c r="I12" s="125"/>
      <c r="J12" s="125"/>
      <c r="K12" s="125"/>
      <c r="L12" s="125"/>
      <c r="M12" s="125"/>
    </row>
    <row r="13" spans="1:13" x14ac:dyDescent="0.15">
      <c r="A13" s="124"/>
      <c r="B13" s="125"/>
      <c r="C13" s="136"/>
      <c r="D13" s="137"/>
      <c r="E13" s="125"/>
      <c r="F13" s="125"/>
      <c r="G13" s="125"/>
      <c r="H13" s="125"/>
      <c r="I13" s="125"/>
      <c r="J13" s="125"/>
      <c r="K13" s="125"/>
      <c r="L13" s="125"/>
      <c r="M13" s="125"/>
    </row>
    <row r="14" spans="1:13" x14ac:dyDescent="0.15">
      <c r="A14" s="124" t="s">
        <v>145</v>
      </c>
      <c r="B14" s="427" t="s">
        <v>137</v>
      </c>
      <c r="C14" s="427"/>
      <c r="D14" s="427"/>
      <c r="E14" s="138"/>
      <c r="F14" s="125"/>
      <c r="G14" s="125"/>
      <c r="H14" s="125"/>
      <c r="I14" s="125"/>
      <c r="J14" s="125"/>
      <c r="K14" s="125"/>
      <c r="L14" s="125"/>
      <c r="M14" s="125"/>
    </row>
    <row r="15" spans="1:13" x14ac:dyDescent="0.15">
      <c r="A15" s="124"/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3" x14ac:dyDescent="0.15">
      <c r="A16" s="124"/>
      <c r="B16" s="127" t="s">
        <v>79</v>
      </c>
      <c r="C16" s="127" t="s">
        <v>82</v>
      </c>
      <c r="D16" s="127" t="s">
        <v>80</v>
      </c>
      <c r="E16" s="127" t="s">
        <v>81</v>
      </c>
      <c r="F16" s="125"/>
      <c r="G16" s="125"/>
      <c r="H16" s="128" t="s">
        <v>83</v>
      </c>
      <c r="I16" s="128" t="s">
        <v>84</v>
      </c>
      <c r="J16" s="128" t="s">
        <v>85</v>
      </c>
      <c r="K16" s="125"/>
      <c r="L16" s="139" t="s">
        <v>0</v>
      </c>
      <c r="M16" s="125"/>
    </row>
    <row r="17" spans="1:13" x14ac:dyDescent="0.15">
      <c r="A17" s="124"/>
      <c r="B17" s="127">
        <f>C17*60</f>
        <v>7.9639373768501248E-3</v>
      </c>
      <c r="C17" s="160">
        <f>(PI()*0.013^2)/4</f>
        <v>1.3273228961416874E-4</v>
      </c>
      <c r="D17" s="160">
        <v>13</v>
      </c>
      <c r="E17" s="160">
        <v>1</v>
      </c>
      <c r="F17" s="125"/>
      <c r="G17" s="125"/>
      <c r="H17" s="127" t="s">
        <v>1</v>
      </c>
      <c r="I17" s="127" t="s">
        <v>42</v>
      </c>
      <c r="J17" s="129">
        <f>B17/1000/60</f>
        <v>1.3273228961416876E-7</v>
      </c>
      <c r="K17" s="125"/>
      <c r="L17" s="140">
        <v>13</v>
      </c>
      <c r="M17" s="125"/>
    </row>
    <row r="18" spans="1:13" x14ac:dyDescent="0.15">
      <c r="A18" s="124"/>
      <c r="B18" s="125"/>
      <c r="C18" s="125"/>
      <c r="D18" s="125"/>
      <c r="E18" s="125"/>
      <c r="F18" s="125"/>
      <c r="G18" s="125"/>
      <c r="H18" s="127" t="s">
        <v>86</v>
      </c>
      <c r="I18" s="127" t="s">
        <v>87</v>
      </c>
      <c r="J18" s="130">
        <f>PI()*POWER((D17/1000),2)/4</f>
        <v>1.3273228961416874E-4</v>
      </c>
      <c r="K18" s="125"/>
      <c r="L18" s="140">
        <v>20</v>
      </c>
      <c r="M18" s="125"/>
    </row>
    <row r="19" spans="1:13" x14ac:dyDescent="0.15">
      <c r="A19" s="124"/>
      <c r="B19" s="125" t="s">
        <v>88</v>
      </c>
      <c r="C19" s="125"/>
      <c r="D19" s="125"/>
      <c r="E19" s="125"/>
      <c r="F19" s="125"/>
      <c r="G19" s="125"/>
      <c r="H19" s="125"/>
      <c r="I19" s="125"/>
      <c r="J19" s="125"/>
      <c r="K19" s="125"/>
      <c r="L19" s="140">
        <v>25</v>
      </c>
      <c r="M19" s="125"/>
    </row>
    <row r="20" spans="1:13" x14ac:dyDescent="0.15">
      <c r="A20" s="124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40">
        <v>30</v>
      </c>
      <c r="M20" s="125"/>
    </row>
    <row r="21" spans="1:13" x14ac:dyDescent="0.15">
      <c r="A21" s="124"/>
      <c r="B21" s="128" t="s">
        <v>83</v>
      </c>
      <c r="C21" s="128" t="s">
        <v>84</v>
      </c>
      <c r="D21" s="128" t="s">
        <v>85</v>
      </c>
      <c r="E21" s="129"/>
      <c r="F21" s="125"/>
      <c r="G21" s="125"/>
      <c r="H21" s="125"/>
      <c r="I21" s="125"/>
      <c r="J21" s="125"/>
      <c r="K21" s="125"/>
      <c r="L21" s="140">
        <v>40</v>
      </c>
      <c r="M21" s="125"/>
    </row>
    <row r="22" spans="1:13" x14ac:dyDescent="0.15">
      <c r="A22" s="124"/>
      <c r="B22" s="127" t="s">
        <v>89</v>
      </c>
      <c r="C22" s="127" t="s">
        <v>90</v>
      </c>
      <c r="D22" s="131">
        <f>J17/J18</f>
        <v>1.0000000000000002E-3</v>
      </c>
      <c r="E22" s="129" t="str">
        <f>IF(D22&lt;2,"ok","out")</f>
        <v>ok</v>
      </c>
      <c r="F22" s="125"/>
      <c r="G22" s="125"/>
      <c r="H22" s="125"/>
      <c r="I22" s="125"/>
      <c r="J22" s="125"/>
      <c r="K22" s="125"/>
      <c r="L22" s="140">
        <v>50</v>
      </c>
      <c r="M22" s="125"/>
    </row>
    <row r="23" spans="1:13" x14ac:dyDescent="0.15">
      <c r="A23" s="124"/>
      <c r="B23" s="128" t="s">
        <v>19</v>
      </c>
      <c r="C23" s="127" t="s">
        <v>36</v>
      </c>
      <c r="D23" s="131">
        <f>ROUND((0.0126+(0.01739-0.1087*D17/1000)/POWER(D22,1/2))/D17*1000000*POWER(D22,2)/2/9.8,4)</f>
        <v>2E-3</v>
      </c>
      <c r="E23" s="129"/>
      <c r="F23" s="125"/>
      <c r="G23" s="125"/>
      <c r="H23" s="125"/>
      <c r="I23" s="125"/>
      <c r="J23" s="125"/>
      <c r="K23" s="125"/>
      <c r="L23" s="125"/>
      <c r="M23" s="125"/>
    </row>
    <row r="24" spans="1:13" x14ac:dyDescent="0.15">
      <c r="A24" s="124"/>
      <c r="B24" s="128" t="s">
        <v>91</v>
      </c>
      <c r="C24" s="127" t="s">
        <v>92</v>
      </c>
      <c r="D24" s="131">
        <f>(0.0126+(0.01739-0.1087*D17/1000)/POWER(D22,1/2))*E17/D17*1000*POWER(D22,2)/2/9.8</f>
        <v>2.0323153041108385E-6</v>
      </c>
      <c r="E24" s="129">
        <f>ROUND(D24*1000,0)</f>
        <v>0</v>
      </c>
      <c r="F24" s="125"/>
      <c r="G24" s="125"/>
      <c r="H24" s="125"/>
      <c r="I24" s="125"/>
      <c r="J24" s="125"/>
      <c r="K24" s="125"/>
      <c r="L24" s="125"/>
      <c r="M24" s="125"/>
    </row>
    <row r="25" spans="1:13" x14ac:dyDescent="0.15">
      <c r="A25" s="124"/>
      <c r="B25" s="125"/>
      <c r="C25" s="136"/>
      <c r="D25" s="137"/>
      <c r="E25" s="125"/>
      <c r="F25" s="125"/>
      <c r="G25" s="125"/>
      <c r="H25" s="125"/>
      <c r="I25" s="125"/>
      <c r="J25" s="125"/>
      <c r="K25" s="125"/>
      <c r="L25" s="125"/>
      <c r="M25" s="125"/>
    </row>
    <row r="26" spans="1:13" x14ac:dyDescent="0.15">
      <c r="A26" s="124"/>
      <c r="B26" s="125"/>
      <c r="C26" s="136"/>
      <c r="D26" s="137"/>
      <c r="E26" s="125"/>
      <c r="F26" s="125"/>
      <c r="G26" s="125"/>
      <c r="H26" s="125"/>
      <c r="I26" s="125"/>
      <c r="J26" s="125"/>
      <c r="K26" s="125"/>
      <c r="L26" s="125"/>
      <c r="M26" s="125"/>
    </row>
    <row r="27" spans="1:13" x14ac:dyDescent="0.15">
      <c r="A27" s="124" t="s">
        <v>146</v>
      </c>
      <c r="B27" s="141" t="s">
        <v>135</v>
      </c>
      <c r="C27" s="136"/>
      <c r="D27" s="137"/>
      <c r="E27" s="125"/>
      <c r="F27" s="125"/>
      <c r="G27" s="125"/>
      <c r="H27" s="125"/>
      <c r="I27" s="125"/>
      <c r="J27" s="125"/>
      <c r="K27" s="125"/>
      <c r="L27" s="125"/>
      <c r="M27" s="125"/>
    </row>
    <row r="28" spans="1:13" x14ac:dyDescent="0.15">
      <c r="A28" s="124"/>
      <c r="B28" s="125"/>
      <c r="C28" s="136"/>
      <c r="D28" s="137"/>
      <c r="E28" s="125"/>
      <c r="F28" s="125"/>
      <c r="G28" s="125"/>
      <c r="H28" s="125"/>
      <c r="I28" s="125"/>
      <c r="J28" s="125"/>
      <c r="K28" s="125"/>
      <c r="L28" s="125"/>
      <c r="M28" s="125"/>
    </row>
    <row r="29" spans="1:13" x14ac:dyDescent="0.15">
      <c r="A29" s="124"/>
      <c r="B29" s="127" t="s">
        <v>96</v>
      </c>
      <c r="C29" s="127" t="s">
        <v>94</v>
      </c>
      <c r="D29" s="127" t="s">
        <v>95</v>
      </c>
      <c r="E29" s="125"/>
      <c r="F29" s="125"/>
      <c r="G29" s="125"/>
      <c r="H29" s="125"/>
      <c r="I29" s="125"/>
      <c r="J29" s="125"/>
      <c r="K29" s="125"/>
      <c r="L29" s="125"/>
      <c r="M29" s="125"/>
    </row>
    <row r="30" spans="1:13" x14ac:dyDescent="0.15">
      <c r="A30" s="124"/>
      <c r="B30" s="161">
        <v>9</v>
      </c>
      <c r="C30" s="279">
        <f>ROUND(42*B30^0.33,1)</f>
        <v>86.7</v>
      </c>
      <c r="D30" s="279">
        <f>ROUND(19*B30^0.67,1)</f>
        <v>82.8</v>
      </c>
      <c r="E30" s="125"/>
      <c r="F30" s="125"/>
      <c r="G30" s="125"/>
      <c r="H30" s="125"/>
      <c r="I30" s="125"/>
      <c r="J30" s="125"/>
      <c r="K30" s="125"/>
      <c r="L30" s="125"/>
      <c r="M30" s="125"/>
    </row>
    <row r="31" spans="1:13" x14ac:dyDescent="0.15">
      <c r="A31" s="124"/>
      <c r="B31" s="125"/>
      <c r="C31" s="280">
        <f>ROUND(42*B30^0.33/60,2)</f>
        <v>1.45</v>
      </c>
      <c r="D31" s="280">
        <f>ROUND(19*B30^0.67/60,2)</f>
        <v>1.38</v>
      </c>
      <c r="E31" s="125"/>
      <c r="F31" s="125"/>
      <c r="G31" s="125"/>
      <c r="H31" s="125"/>
      <c r="I31" s="125"/>
      <c r="J31" s="125"/>
      <c r="K31" s="125"/>
      <c r="L31" s="125"/>
      <c r="M31" s="125"/>
    </row>
    <row r="32" spans="1:13" x14ac:dyDescent="0.15">
      <c r="A32" s="124"/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</row>
    <row r="33" spans="1:13" x14ac:dyDescent="0.15">
      <c r="A33" s="124"/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</row>
    <row r="34" spans="1:13" x14ac:dyDescent="0.15">
      <c r="A34" s="124" t="s">
        <v>147</v>
      </c>
      <c r="B34" s="141" t="s">
        <v>136</v>
      </c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</row>
    <row r="35" spans="1:13" x14ac:dyDescent="0.15">
      <c r="A35" s="124"/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</row>
    <row r="36" spans="1:13" x14ac:dyDescent="0.15">
      <c r="A36" s="124"/>
      <c r="B36" s="142" t="s">
        <v>133</v>
      </c>
      <c r="C36" s="142" t="s">
        <v>134</v>
      </c>
      <c r="D36" s="125"/>
      <c r="E36" s="125"/>
      <c r="F36" s="125"/>
      <c r="G36" s="125"/>
      <c r="H36" s="125"/>
      <c r="I36" s="125"/>
      <c r="J36" s="125"/>
      <c r="K36" s="125"/>
      <c r="L36" s="125"/>
      <c r="M36" s="125"/>
    </row>
    <row r="37" spans="1:13" x14ac:dyDescent="0.15">
      <c r="A37" s="124"/>
      <c r="B37" s="162">
        <v>20</v>
      </c>
      <c r="C37" s="140">
        <f>10^(0.672641066*LOG(B37,10)+0.858837851)</f>
        <v>54.195603176249747</v>
      </c>
      <c r="D37" s="125"/>
      <c r="E37" s="125"/>
      <c r="F37" s="125"/>
      <c r="G37" s="125"/>
      <c r="H37" s="125"/>
      <c r="I37" s="125"/>
      <c r="J37" s="125"/>
      <c r="K37" s="125"/>
      <c r="L37" s="125"/>
      <c r="M37" s="125"/>
    </row>
    <row r="38" spans="1:13" x14ac:dyDescent="0.15">
      <c r="A38" s="124"/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</row>
    <row r="39" spans="1:13" x14ac:dyDescent="0.15">
      <c r="A39" s="124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</row>
    <row r="40" spans="1:13" x14ac:dyDescent="0.15">
      <c r="A40" s="124" t="s">
        <v>148</v>
      </c>
      <c r="B40" s="141" t="s">
        <v>139</v>
      </c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</row>
    <row r="41" spans="1:13" x14ac:dyDescent="0.15">
      <c r="A41" s="124"/>
      <c r="B41" s="125"/>
      <c r="C41" s="125"/>
      <c r="D41" s="137" t="s">
        <v>140</v>
      </c>
      <c r="E41" s="125"/>
      <c r="F41" s="125"/>
      <c r="G41" s="125"/>
      <c r="H41" s="125"/>
      <c r="I41" s="125"/>
      <c r="J41" s="125"/>
      <c r="K41" s="125"/>
      <c r="L41" s="125"/>
      <c r="M41" s="125"/>
    </row>
    <row r="42" spans="1:13" x14ac:dyDescent="0.15">
      <c r="A42" s="124"/>
      <c r="B42" s="127" t="s">
        <v>143</v>
      </c>
      <c r="C42" s="127" t="s">
        <v>142</v>
      </c>
      <c r="D42" s="127" t="s">
        <v>139</v>
      </c>
      <c r="E42" s="127" t="s">
        <v>164</v>
      </c>
      <c r="F42" s="125"/>
      <c r="G42" s="125"/>
      <c r="H42" s="125"/>
      <c r="I42" s="125"/>
      <c r="J42" s="125"/>
      <c r="K42" s="125"/>
      <c r="L42" s="125"/>
      <c r="M42" s="125"/>
    </row>
    <row r="43" spans="1:13" x14ac:dyDescent="0.15">
      <c r="A43" s="124"/>
      <c r="B43" s="162">
        <v>100</v>
      </c>
      <c r="C43" s="162">
        <v>100</v>
      </c>
      <c r="D43" s="129">
        <f>(B43^2.63+C43^2.63)^(1/2.63)</f>
        <v>130.15476560718724</v>
      </c>
      <c r="E43" s="129">
        <f>(B43^2+C43^2)^(1/2)</f>
        <v>141.42135623730951</v>
      </c>
      <c r="F43" s="125"/>
      <c r="G43" s="125"/>
      <c r="H43" s="125"/>
      <c r="I43" s="125"/>
      <c r="J43" s="125"/>
      <c r="K43" s="125"/>
      <c r="L43" s="125"/>
      <c r="M43" s="125"/>
    </row>
    <row r="44" spans="1:13" x14ac:dyDescent="0.15">
      <c r="A44" s="124"/>
      <c r="B44" s="125" t="s">
        <v>141</v>
      </c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</row>
    <row r="45" spans="1:13" x14ac:dyDescent="0.15">
      <c r="A45" s="124"/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</row>
    <row r="46" spans="1:13" x14ac:dyDescent="0.15">
      <c r="A46" s="124"/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</row>
    <row r="47" spans="1:13" x14ac:dyDescent="0.15">
      <c r="A47" s="124" t="s">
        <v>153</v>
      </c>
      <c r="B47" s="143" t="s">
        <v>157</v>
      </c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</row>
    <row r="48" spans="1:13" x14ac:dyDescent="0.15">
      <c r="A48" s="124"/>
      <c r="B48" s="125"/>
      <c r="C48" s="125"/>
      <c r="D48" s="137" t="s">
        <v>140</v>
      </c>
      <c r="E48" s="125"/>
      <c r="F48" s="125"/>
      <c r="G48" s="125"/>
      <c r="H48" s="125"/>
      <c r="I48" s="125"/>
      <c r="J48" s="125"/>
      <c r="K48" s="125"/>
      <c r="L48" s="125"/>
      <c r="M48" s="125"/>
    </row>
    <row r="49" spans="1:13" x14ac:dyDescent="0.15">
      <c r="A49" s="124"/>
      <c r="B49" s="127" t="s">
        <v>154</v>
      </c>
      <c r="C49" s="127" t="s">
        <v>155</v>
      </c>
      <c r="D49" s="127" t="s">
        <v>156</v>
      </c>
      <c r="E49" s="125"/>
      <c r="F49" s="125"/>
      <c r="G49" s="125"/>
      <c r="H49" s="125"/>
      <c r="I49" s="125"/>
      <c r="J49" s="125"/>
      <c r="K49" s="125"/>
      <c r="L49" s="125"/>
      <c r="M49" s="125"/>
    </row>
    <row r="50" spans="1:13" x14ac:dyDescent="0.15">
      <c r="A50" s="124"/>
      <c r="B50" s="163">
        <v>40</v>
      </c>
      <c r="C50" s="163">
        <v>20</v>
      </c>
      <c r="D50" s="129">
        <f>(B50/C50)^2.63</f>
        <v>6.1902599741695594</v>
      </c>
      <c r="E50" s="125"/>
      <c r="F50" s="125"/>
      <c r="G50" s="125"/>
      <c r="H50" s="125"/>
      <c r="I50" s="125"/>
      <c r="J50" s="125"/>
      <c r="K50" s="125"/>
      <c r="L50" s="125"/>
      <c r="M50" s="125"/>
    </row>
    <row r="51" spans="1:13" x14ac:dyDescent="0.15">
      <c r="A51" s="124"/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</row>
    <row r="52" spans="1:13" x14ac:dyDescent="0.15">
      <c r="A52" s="124" t="s">
        <v>634</v>
      </c>
      <c r="B52" s="143" t="s">
        <v>635</v>
      </c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</row>
    <row r="53" spans="1:13" x14ac:dyDescent="0.15">
      <c r="A53" s="124"/>
      <c r="B53" s="125"/>
      <c r="C53" s="125"/>
      <c r="D53" s="137" t="s">
        <v>140</v>
      </c>
      <c r="E53" s="125"/>
      <c r="F53" s="125"/>
      <c r="G53" s="125"/>
      <c r="H53" s="125"/>
      <c r="I53" s="125"/>
      <c r="J53" s="125"/>
      <c r="K53" s="125"/>
      <c r="L53" s="125"/>
      <c r="M53" s="125"/>
    </row>
    <row r="54" spans="1:13" x14ac:dyDescent="0.15">
      <c r="A54" s="124"/>
      <c r="B54" s="127" t="s">
        <v>636</v>
      </c>
      <c r="C54" s="127" t="s">
        <v>637</v>
      </c>
      <c r="D54" s="127" t="s">
        <v>638</v>
      </c>
      <c r="E54" s="125"/>
      <c r="F54" s="125"/>
      <c r="G54" s="125"/>
      <c r="H54" s="125"/>
      <c r="I54" s="125"/>
      <c r="J54" s="125"/>
      <c r="K54" s="125"/>
      <c r="L54" s="125"/>
      <c r="M54" s="125"/>
    </row>
    <row r="55" spans="1:13" x14ac:dyDescent="0.15">
      <c r="A55" s="124"/>
      <c r="B55" s="163">
        <v>30</v>
      </c>
      <c r="C55" s="163">
        <v>25</v>
      </c>
      <c r="D55" s="129">
        <f>(B55/C55)^(5/2)</f>
        <v>1.5774409656148782</v>
      </c>
      <c r="E55" s="125"/>
      <c r="F55" s="125"/>
      <c r="G55" s="125"/>
      <c r="H55" s="125"/>
      <c r="I55" s="125"/>
      <c r="J55" s="125"/>
      <c r="K55" s="125"/>
      <c r="L55" s="125"/>
      <c r="M55" s="125"/>
    </row>
    <row r="56" spans="1:13" x14ac:dyDescent="0.15">
      <c r="A56" s="124"/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</row>
  </sheetData>
  <sheetProtection password="CC1F" sheet="1" objects="1" scenarios="1" selectLockedCells="1"/>
  <mergeCells count="2">
    <mergeCell ref="B1:E1"/>
    <mergeCell ref="B14:D14"/>
  </mergeCells>
  <phoneticPr fontId="3"/>
  <dataValidations count="3">
    <dataValidation type="list" allowBlank="1" showInputMessage="1" showErrorMessage="1" sqref="D17">
      <formula1>$L$17:$L$22</formula1>
    </dataValidation>
    <dataValidation type="whole" operator="greaterThanOrEqual" allowBlank="1" showInputMessage="1" showErrorMessage="1" sqref="D4">
      <formula1>51</formula1>
    </dataValidation>
    <dataValidation type="whole" operator="lessThanOrEqual" allowBlank="1" showInputMessage="1" showErrorMessage="1" error="主幹径以下で入力してください。" sqref="C50 C55">
      <formula1>B50</formula1>
    </dataValidation>
  </dataValidation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AL39"/>
  <sheetViews>
    <sheetView topLeftCell="K1" zoomScale="80" zoomScaleNormal="80" workbookViewId="0">
      <selection activeCell="AB7" sqref="AB7"/>
    </sheetView>
  </sheetViews>
  <sheetFormatPr defaultRowHeight="13.5" x14ac:dyDescent="0.15"/>
  <cols>
    <col min="1" max="1" width="3.125" style="145" customWidth="1"/>
    <col min="2" max="2" width="11.25" style="145" customWidth="1"/>
    <col min="3" max="3" width="9" style="145"/>
    <col min="4" max="5" width="4.375" style="145" customWidth="1"/>
    <col min="6" max="7" width="5.625" style="145" customWidth="1"/>
    <col min="8" max="9" width="9" style="145"/>
    <col min="10" max="16" width="5.625" style="145" customWidth="1"/>
    <col min="17" max="19" width="4.375" style="145" customWidth="1"/>
    <col min="20" max="20" width="4.5" style="145" customWidth="1"/>
    <col min="21" max="21" width="4.625" style="145" customWidth="1"/>
    <col min="22" max="24" width="9" style="145"/>
    <col min="25" max="25" width="2.125" style="145" customWidth="1"/>
    <col min="26" max="26" width="9" style="145"/>
    <col min="27" max="27" width="2.125" style="145" customWidth="1"/>
    <col min="28" max="16384" width="9" style="145"/>
  </cols>
  <sheetData>
    <row r="1" spans="2:38" x14ac:dyDescent="0.15">
      <c r="B1" s="145" t="s">
        <v>431</v>
      </c>
    </row>
    <row r="2" spans="2:38" ht="24" customHeight="1" x14ac:dyDescent="0.15">
      <c r="B2" s="439" t="s">
        <v>51</v>
      </c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40" t="s">
        <v>52</v>
      </c>
      <c r="T2" s="440"/>
      <c r="U2" s="440"/>
      <c r="Y2" s="319" t="s">
        <v>626</v>
      </c>
    </row>
    <row r="3" spans="2:38" ht="8.1" customHeight="1" x14ac:dyDescent="0.15">
      <c r="Z3" s="319"/>
      <c r="AA3" s="319"/>
      <c r="AB3" s="319"/>
      <c r="AC3" s="319"/>
      <c r="AD3" s="319"/>
      <c r="AE3" s="319"/>
      <c r="AF3" s="319"/>
      <c r="AG3" s="319"/>
      <c r="AH3" s="319"/>
      <c r="AI3" s="319"/>
      <c r="AJ3" s="319"/>
      <c r="AK3" s="319"/>
      <c r="AL3" s="319"/>
    </row>
    <row r="4" spans="2:38" ht="24.95" customHeight="1" x14ac:dyDescent="0.15">
      <c r="B4" s="146" t="s">
        <v>53</v>
      </c>
      <c r="C4" s="432" t="s">
        <v>54</v>
      </c>
      <c r="D4" s="432"/>
      <c r="E4" s="434" t="s">
        <v>55</v>
      </c>
      <c r="F4" s="435" t="s">
        <v>550</v>
      </c>
      <c r="G4" s="435" t="s">
        <v>551</v>
      </c>
      <c r="H4" s="436" t="s">
        <v>552</v>
      </c>
      <c r="I4" s="436"/>
      <c r="J4" s="147" t="s">
        <v>553</v>
      </c>
      <c r="K4" s="147" t="s">
        <v>554</v>
      </c>
      <c r="L4" s="437" t="s">
        <v>56</v>
      </c>
      <c r="M4" s="437" t="s">
        <v>57</v>
      </c>
      <c r="N4" s="431" t="s">
        <v>58</v>
      </c>
      <c r="O4" s="438" t="s">
        <v>59</v>
      </c>
      <c r="P4" s="436"/>
      <c r="Q4" s="438" t="s">
        <v>60</v>
      </c>
      <c r="R4" s="436"/>
      <c r="S4" s="438" t="s">
        <v>555</v>
      </c>
      <c r="T4" s="436"/>
      <c r="U4" s="431" t="s">
        <v>61</v>
      </c>
      <c r="Y4" s="320"/>
      <c r="Z4" s="321" t="s">
        <v>627</v>
      </c>
      <c r="AA4" s="322"/>
      <c r="AB4" s="441" t="s">
        <v>628</v>
      </c>
      <c r="AC4" s="441"/>
      <c r="AD4" s="441"/>
      <c r="AE4" s="441"/>
      <c r="AF4" s="441"/>
      <c r="AG4" s="441"/>
      <c r="AH4" s="441"/>
      <c r="AI4" s="441"/>
      <c r="AJ4" s="441"/>
      <c r="AK4" s="441"/>
      <c r="AL4" s="441"/>
    </row>
    <row r="5" spans="2:38" ht="24.95" customHeight="1" x14ac:dyDescent="0.15">
      <c r="B5" s="148"/>
      <c r="C5" s="432"/>
      <c r="D5" s="432"/>
      <c r="E5" s="434"/>
      <c r="F5" s="431"/>
      <c r="G5" s="431"/>
      <c r="H5" s="435" t="s">
        <v>62</v>
      </c>
      <c r="I5" s="435" t="s">
        <v>63</v>
      </c>
      <c r="J5" s="437" t="s">
        <v>556</v>
      </c>
      <c r="K5" s="437" t="s">
        <v>556</v>
      </c>
      <c r="L5" s="437"/>
      <c r="M5" s="437"/>
      <c r="N5" s="431"/>
      <c r="O5" s="436"/>
      <c r="P5" s="436"/>
      <c r="Q5" s="436"/>
      <c r="R5" s="436"/>
      <c r="S5" s="436"/>
      <c r="T5" s="436"/>
      <c r="U5" s="431"/>
      <c r="Y5" s="323"/>
      <c r="Z5" s="321" t="s">
        <v>629</v>
      </c>
      <c r="AA5" s="324"/>
      <c r="AB5" s="325">
        <v>10</v>
      </c>
      <c r="AC5" s="325">
        <v>13</v>
      </c>
      <c r="AD5" s="325">
        <v>20</v>
      </c>
      <c r="AE5" s="325">
        <v>25</v>
      </c>
      <c r="AF5" s="325">
        <v>30</v>
      </c>
      <c r="AG5" s="325">
        <v>40</v>
      </c>
      <c r="AH5" s="325">
        <v>50</v>
      </c>
      <c r="AI5" s="325">
        <v>65</v>
      </c>
      <c r="AJ5" s="325">
        <v>75</v>
      </c>
      <c r="AK5" s="325">
        <v>100</v>
      </c>
      <c r="AL5" s="325">
        <v>150</v>
      </c>
    </row>
    <row r="6" spans="2:38" ht="18" customHeight="1" x14ac:dyDescent="0.15">
      <c r="B6" s="148"/>
      <c r="C6" s="432"/>
      <c r="D6" s="432"/>
      <c r="E6" s="434"/>
      <c r="F6" s="431"/>
      <c r="G6" s="431"/>
      <c r="H6" s="431"/>
      <c r="I6" s="431"/>
      <c r="J6" s="437"/>
      <c r="K6" s="437"/>
      <c r="L6" s="437"/>
      <c r="M6" s="437"/>
      <c r="N6" s="431"/>
      <c r="O6" s="147" t="s">
        <v>553</v>
      </c>
      <c r="P6" s="147" t="s">
        <v>554</v>
      </c>
      <c r="Q6" s="147" t="s">
        <v>553</v>
      </c>
      <c r="R6" s="147" t="s">
        <v>554</v>
      </c>
      <c r="S6" s="431" t="s">
        <v>64</v>
      </c>
      <c r="T6" s="431" t="s">
        <v>65</v>
      </c>
      <c r="U6" s="431"/>
      <c r="Y6" s="326"/>
      <c r="Z6" s="321">
        <v>10</v>
      </c>
      <c r="AA6" s="321"/>
      <c r="AB6" s="327">
        <f>ROUNDDOWN(($Z6/AB$5)^(5/2),2)</f>
        <v>1</v>
      </c>
      <c r="AC6" s="327"/>
      <c r="AD6" s="327"/>
      <c r="AE6" s="327"/>
      <c r="AF6" s="327"/>
      <c r="AG6" s="327"/>
      <c r="AH6" s="327"/>
      <c r="AI6" s="327"/>
      <c r="AJ6" s="327"/>
      <c r="AK6" s="327"/>
      <c r="AL6" s="327"/>
    </row>
    <row r="7" spans="2:38" ht="30" customHeight="1" x14ac:dyDescent="0.15">
      <c r="B7" s="149" t="s">
        <v>66</v>
      </c>
      <c r="C7" s="147" t="s">
        <v>67</v>
      </c>
      <c r="D7" s="147" t="s">
        <v>68</v>
      </c>
      <c r="E7" s="434"/>
      <c r="F7" s="431"/>
      <c r="G7" s="431"/>
      <c r="H7" s="431"/>
      <c r="I7" s="431"/>
      <c r="J7" s="437"/>
      <c r="K7" s="437"/>
      <c r="L7" s="437"/>
      <c r="M7" s="437"/>
      <c r="N7" s="431"/>
      <c r="O7" s="150" t="s">
        <v>69</v>
      </c>
      <c r="P7" s="150" t="s">
        <v>69</v>
      </c>
      <c r="Q7" s="150" t="s">
        <v>69</v>
      </c>
      <c r="R7" s="150" t="s">
        <v>69</v>
      </c>
      <c r="S7" s="431"/>
      <c r="T7" s="431"/>
      <c r="U7" s="431"/>
      <c r="Y7" s="326"/>
      <c r="Z7" s="321">
        <v>13</v>
      </c>
      <c r="AA7" s="321"/>
      <c r="AB7" s="327">
        <f t="shared" ref="AB7:AL16" si="0">ROUNDDOWN(($Z7/AB$5)^(5/2),2)</f>
        <v>1.92</v>
      </c>
      <c r="AC7" s="327">
        <f t="shared" si="0"/>
        <v>1</v>
      </c>
      <c r="AD7" s="327"/>
      <c r="AE7" s="327"/>
      <c r="AF7" s="327"/>
      <c r="AG7" s="327"/>
      <c r="AH7" s="327"/>
      <c r="AI7" s="327"/>
      <c r="AJ7" s="327"/>
      <c r="AK7" s="327"/>
      <c r="AL7" s="327"/>
    </row>
    <row r="8" spans="2:38" ht="20.100000000000001" customHeight="1" x14ac:dyDescent="0.15">
      <c r="B8" s="147">
        <v>13</v>
      </c>
      <c r="C8" s="151">
        <v>3.5</v>
      </c>
      <c r="D8" s="151">
        <v>1.5</v>
      </c>
      <c r="E8" s="151">
        <v>1.5</v>
      </c>
      <c r="F8" s="151">
        <v>4.5</v>
      </c>
      <c r="G8" s="152">
        <v>0.12</v>
      </c>
      <c r="H8" s="147">
        <v>3</v>
      </c>
      <c r="I8" s="147"/>
      <c r="J8" s="147">
        <v>0.6</v>
      </c>
      <c r="K8" s="152">
        <v>0.36</v>
      </c>
      <c r="L8" s="151">
        <v>0.9</v>
      </c>
      <c r="M8" s="152">
        <v>0.18</v>
      </c>
      <c r="N8" s="147">
        <v>3.5</v>
      </c>
      <c r="O8" s="147"/>
      <c r="P8" s="147"/>
      <c r="Q8" s="147"/>
      <c r="R8" s="147"/>
      <c r="S8" s="147">
        <v>38</v>
      </c>
      <c r="T8" s="147"/>
      <c r="U8" s="151">
        <v>1.2</v>
      </c>
      <c r="Y8" s="326"/>
      <c r="Z8" s="321">
        <v>20</v>
      </c>
      <c r="AA8" s="321"/>
      <c r="AB8" s="327">
        <f t="shared" si="0"/>
        <v>5.65</v>
      </c>
      <c r="AC8" s="327">
        <f t="shared" si="0"/>
        <v>2.93</v>
      </c>
      <c r="AD8" s="327">
        <f t="shared" si="0"/>
        <v>1</v>
      </c>
      <c r="AE8" s="327"/>
      <c r="AF8" s="327"/>
      <c r="AG8" s="327"/>
      <c r="AH8" s="327"/>
      <c r="AI8" s="327"/>
      <c r="AJ8" s="327"/>
      <c r="AK8" s="327"/>
      <c r="AL8" s="327"/>
    </row>
    <row r="9" spans="2:38" ht="20.100000000000001" customHeight="1" x14ac:dyDescent="0.15">
      <c r="B9" s="147">
        <v>20</v>
      </c>
      <c r="C9" s="151">
        <v>7</v>
      </c>
      <c r="D9" s="151">
        <v>2</v>
      </c>
      <c r="E9" s="151">
        <v>2</v>
      </c>
      <c r="F9" s="151">
        <v>6</v>
      </c>
      <c r="G9" s="152">
        <v>0.15</v>
      </c>
      <c r="H9" s="147">
        <v>6</v>
      </c>
      <c r="I9" s="147"/>
      <c r="J9" s="152">
        <v>0.75</v>
      </c>
      <c r="K9" s="152">
        <v>0.45</v>
      </c>
      <c r="L9" s="151">
        <v>1.2</v>
      </c>
      <c r="M9" s="152">
        <v>0.24</v>
      </c>
      <c r="N9" s="147">
        <v>7</v>
      </c>
      <c r="O9" s="147"/>
      <c r="P9" s="147"/>
      <c r="Q9" s="147"/>
      <c r="R9" s="147"/>
      <c r="S9" s="147">
        <v>23</v>
      </c>
      <c r="T9" s="147"/>
      <c r="U9" s="151">
        <v>1.6</v>
      </c>
      <c r="Y9" s="326"/>
      <c r="Z9" s="321">
        <v>25</v>
      </c>
      <c r="AA9" s="321"/>
      <c r="AB9" s="327">
        <f t="shared" si="0"/>
        <v>9.8800000000000008</v>
      </c>
      <c r="AC9" s="327">
        <f t="shared" si="0"/>
        <v>5.12</v>
      </c>
      <c r="AD9" s="327">
        <f t="shared" si="0"/>
        <v>1.74</v>
      </c>
      <c r="AE9" s="327">
        <f t="shared" si="0"/>
        <v>1</v>
      </c>
      <c r="AF9" s="327"/>
      <c r="AG9" s="327"/>
      <c r="AH9" s="327"/>
      <c r="AI9" s="327"/>
      <c r="AJ9" s="327"/>
      <c r="AK9" s="327"/>
      <c r="AL9" s="327"/>
    </row>
    <row r="10" spans="2:38" ht="20.100000000000001" customHeight="1" x14ac:dyDescent="0.15">
      <c r="B10" s="147">
        <v>25</v>
      </c>
      <c r="C10" s="147">
        <v>8</v>
      </c>
      <c r="D10" s="151">
        <v>3</v>
      </c>
      <c r="E10" s="151">
        <v>3</v>
      </c>
      <c r="F10" s="151">
        <v>7.5</v>
      </c>
      <c r="G10" s="152">
        <v>0.18</v>
      </c>
      <c r="H10" s="147">
        <v>13</v>
      </c>
      <c r="I10" s="147"/>
      <c r="J10" s="147">
        <v>0.9</v>
      </c>
      <c r="K10" s="152">
        <v>0.54</v>
      </c>
      <c r="L10" s="151">
        <v>1.5</v>
      </c>
      <c r="M10" s="152">
        <v>0.27</v>
      </c>
      <c r="N10" s="147">
        <v>8</v>
      </c>
      <c r="O10" s="147"/>
      <c r="P10" s="147"/>
      <c r="Q10" s="147"/>
      <c r="R10" s="147"/>
      <c r="S10" s="147">
        <v>27</v>
      </c>
      <c r="T10" s="147"/>
      <c r="U10" s="151">
        <v>2</v>
      </c>
      <c r="Y10" s="326"/>
      <c r="Z10" s="321">
        <v>30</v>
      </c>
      <c r="AA10" s="321"/>
      <c r="AB10" s="327">
        <f t="shared" si="0"/>
        <v>15.58</v>
      </c>
      <c r="AC10" s="327">
        <f t="shared" si="0"/>
        <v>8.08</v>
      </c>
      <c r="AD10" s="327">
        <f t="shared" si="0"/>
        <v>2.75</v>
      </c>
      <c r="AE10" s="327">
        <f t="shared" si="0"/>
        <v>1.57</v>
      </c>
      <c r="AF10" s="327">
        <f t="shared" si="0"/>
        <v>1</v>
      </c>
      <c r="AG10" s="327"/>
      <c r="AH10" s="327"/>
      <c r="AI10" s="327"/>
      <c r="AJ10" s="327"/>
      <c r="AK10" s="327"/>
      <c r="AL10" s="327"/>
    </row>
    <row r="11" spans="2:38" ht="20.100000000000001" customHeight="1" x14ac:dyDescent="0.15">
      <c r="B11" s="147">
        <v>30</v>
      </c>
      <c r="C11" s="147" t="s">
        <v>557</v>
      </c>
      <c r="D11" s="147"/>
      <c r="E11" s="147"/>
      <c r="F11" s="151">
        <v>10.5</v>
      </c>
      <c r="G11" s="152">
        <v>0.24</v>
      </c>
      <c r="H11" s="147"/>
      <c r="I11" s="147"/>
      <c r="J11" s="147">
        <v>1.2</v>
      </c>
      <c r="K11" s="152">
        <v>0.72</v>
      </c>
      <c r="L11" s="151">
        <v>1.8</v>
      </c>
      <c r="M11" s="152">
        <v>0.36</v>
      </c>
      <c r="N11" s="147"/>
      <c r="O11" s="147"/>
      <c r="P11" s="147"/>
      <c r="Q11" s="147"/>
      <c r="R11" s="147"/>
      <c r="S11" s="147"/>
      <c r="T11" s="147">
        <v>22</v>
      </c>
      <c r="U11" s="151">
        <v>2.5</v>
      </c>
      <c r="Y11" s="326"/>
      <c r="Z11" s="321">
        <v>40</v>
      </c>
      <c r="AA11" s="321"/>
      <c r="AB11" s="327">
        <f t="shared" si="0"/>
        <v>32</v>
      </c>
      <c r="AC11" s="327">
        <f t="shared" si="0"/>
        <v>16.600000000000001</v>
      </c>
      <c r="AD11" s="327">
        <f t="shared" si="0"/>
        <v>5.65</v>
      </c>
      <c r="AE11" s="327">
        <f t="shared" si="0"/>
        <v>3.23</v>
      </c>
      <c r="AF11" s="327">
        <f t="shared" si="0"/>
        <v>2.0499999999999998</v>
      </c>
      <c r="AG11" s="327">
        <f t="shared" si="0"/>
        <v>1</v>
      </c>
      <c r="AH11" s="327"/>
      <c r="AI11" s="327"/>
      <c r="AJ11" s="327"/>
      <c r="AK11" s="327"/>
      <c r="AL11" s="327"/>
    </row>
    <row r="12" spans="2:38" ht="20.100000000000001" customHeight="1" x14ac:dyDescent="0.15">
      <c r="B12" s="147">
        <v>40</v>
      </c>
      <c r="C12" s="147" t="s">
        <v>558</v>
      </c>
      <c r="D12" s="147"/>
      <c r="E12" s="147"/>
      <c r="F12" s="151">
        <v>13.5</v>
      </c>
      <c r="G12" s="152">
        <v>0.3</v>
      </c>
      <c r="H12" s="147" t="s">
        <v>559</v>
      </c>
      <c r="I12" s="147"/>
      <c r="J12" s="147">
        <v>1.5</v>
      </c>
      <c r="K12" s="151">
        <v>0.9</v>
      </c>
      <c r="L12" s="151">
        <v>2.1</v>
      </c>
      <c r="M12" s="152">
        <v>0.45</v>
      </c>
      <c r="N12" s="147"/>
      <c r="O12" s="151">
        <v>1</v>
      </c>
      <c r="P12" s="147"/>
      <c r="Q12" s="147"/>
      <c r="R12" s="147"/>
      <c r="S12" s="147">
        <v>20</v>
      </c>
      <c r="T12" s="147">
        <v>25</v>
      </c>
      <c r="U12" s="151">
        <v>3.1</v>
      </c>
      <c r="Y12" s="326"/>
      <c r="Z12" s="321">
        <v>50</v>
      </c>
      <c r="AA12" s="321"/>
      <c r="AB12" s="327">
        <f t="shared" si="0"/>
        <v>55.9</v>
      </c>
      <c r="AC12" s="327">
        <f t="shared" si="0"/>
        <v>29.01</v>
      </c>
      <c r="AD12" s="327">
        <f t="shared" si="0"/>
        <v>9.8800000000000008</v>
      </c>
      <c r="AE12" s="327">
        <f t="shared" si="0"/>
        <v>5.65</v>
      </c>
      <c r="AF12" s="327">
        <f t="shared" si="0"/>
        <v>3.58</v>
      </c>
      <c r="AG12" s="327">
        <f t="shared" si="0"/>
        <v>1.74</v>
      </c>
      <c r="AH12" s="327">
        <f t="shared" si="0"/>
        <v>1</v>
      </c>
      <c r="AI12" s="327"/>
      <c r="AJ12" s="327"/>
      <c r="AK12" s="327"/>
      <c r="AL12" s="327"/>
    </row>
    <row r="13" spans="2:38" ht="20.100000000000001" customHeight="1" x14ac:dyDescent="0.15">
      <c r="B13" s="147">
        <v>50</v>
      </c>
      <c r="C13" s="147" t="s">
        <v>560</v>
      </c>
      <c r="D13" s="147"/>
      <c r="E13" s="147"/>
      <c r="F13" s="151">
        <v>16.5</v>
      </c>
      <c r="G13" s="152">
        <v>0.39</v>
      </c>
      <c r="H13" s="147" t="s">
        <v>561</v>
      </c>
      <c r="I13" s="147" t="s">
        <v>562</v>
      </c>
      <c r="J13" s="147">
        <v>2.1</v>
      </c>
      <c r="K13" s="151">
        <v>1.2</v>
      </c>
      <c r="L13" s="151">
        <v>3</v>
      </c>
      <c r="M13" s="152">
        <v>0.6</v>
      </c>
      <c r="N13" s="147"/>
      <c r="O13" s="151">
        <v>1.5</v>
      </c>
      <c r="P13" s="147"/>
      <c r="Q13" s="147"/>
      <c r="R13" s="147"/>
      <c r="S13" s="147">
        <v>18</v>
      </c>
      <c r="T13" s="147">
        <v>22</v>
      </c>
      <c r="U13" s="151">
        <v>4</v>
      </c>
      <c r="Y13" s="326"/>
      <c r="Z13" s="321">
        <v>65</v>
      </c>
      <c r="AA13" s="321"/>
      <c r="AB13" s="327">
        <f t="shared" si="0"/>
        <v>107.71</v>
      </c>
      <c r="AC13" s="327">
        <f t="shared" si="0"/>
        <v>55.9</v>
      </c>
      <c r="AD13" s="327">
        <f t="shared" si="0"/>
        <v>19.04</v>
      </c>
      <c r="AE13" s="327">
        <f t="shared" si="0"/>
        <v>10.9</v>
      </c>
      <c r="AF13" s="327">
        <f t="shared" si="0"/>
        <v>6.91</v>
      </c>
      <c r="AG13" s="327">
        <f t="shared" si="0"/>
        <v>3.36</v>
      </c>
      <c r="AH13" s="327">
        <f t="shared" si="0"/>
        <v>1.92</v>
      </c>
      <c r="AI13" s="327">
        <f t="shared" si="0"/>
        <v>1</v>
      </c>
      <c r="AJ13" s="327"/>
      <c r="AK13" s="327"/>
      <c r="AL13" s="327"/>
    </row>
    <row r="14" spans="2:38" ht="20.100000000000001" customHeight="1" x14ac:dyDescent="0.15">
      <c r="B14" s="147">
        <v>75</v>
      </c>
      <c r="C14" s="147"/>
      <c r="D14" s="147"/>
      <c r="E14" s="147"/>
      <c r="F14" s="151">
        <v>24</v>
      </c>
      <c r="G14" s="152">
        <v>0.63</v>
      </c>
      <c r="H14" s="147" t="s">
        <v>563</v>
      </c>
      <c r="I14" s="147" t="s">
        <v>560</v>
      </c>
      <c r="J14" s="151">
        <v>3</v>
      </c>
      <c r="K14" s="151">
        <v>1.8</v>
      </c>
      <c r="L14" s="151">
        <v>4.5</v>
      </c>
      <c r="M14" s="152">
        <v>0.9</v>
      </c>
      <c r="N14" s="147"/>
      <c r="O14" s="151">
        <v>3</v>
      </c>
      <c r="P14" s="151">
        <v>1.5</v>
      </c>
      <c r="Q14" s="151">
        <v>1.5</v>
      </c>
      <c r="R14" s="147"/>
      <c r="S14" s="147">
        <v>42</v>
      </c>
      <c r="T14" s="147">
        <v>83</v>
      </c>
      <c r="U14" s="151">
        <v>5.7</v>
      </c>
      <c r="Y14" s="326"/>
      <c r="Z14" s="321">
        <v>75</v>
      </c>
      <c r="AA14" s="321"/>
      <c r="AB14" s="327">
        <f t="shared" si="0"/>
        <v>154.04</v>
      </c>
      <c r="AC14" s="327">
        <f t="shared" si="0"/>
        <v>79.94</v>
      </c>
      <c r="AD14" s="327">
        <f t="shared" si="0"/>
        <v>27.23</v>
      </c>
      <c r="AE14" s="327">
        <f t="shared" si="0"/>
        <v>15.58</v>
      </c>
      <c r="AF14" s="327">
        <f t="shared" si="0"/>
        <v>9.8800000000000008</v>
      </c>
      <c r="AG14" s="327">
        <f t="shared" si="0"/>
        <v>4.8099999999999996</v>
      </c>
      <c r="AH14" s="327">
        <f t="shared" si="0"/>
        <v>2.75</v>
      </c>
      <c r="AI14" s="327">
        <f t="shared" si="0"/>
        <v>1.43</v>
      </c>
      <c r="AJ14" s="327">
        <f t="shared" si="0"/>
        <v>1</v>
      </c>
      <c r="AK14" s="327"/>
      <c r="AL14" s="327"/>
    </row>
    <row r="15" spans="2:38" ht="20.100000000000001" customHeight="1" x14ac:dyDescent="0.15">
      <c r="B15" s="147">
        <v>100</v>
      </c>
      <c r="C15" s="147"/>
      <c r="D15" s="147"/>
      <c r="E15" s="147"/>
      <c r="F15" s="151">
        <v>37.5</v>
      </c>
      <c r="G15" s="152">
        <v>0.81</v>
      </c>
      <c r="H15" s="147" t="s">
        <v>564</v>
      </c>
      <c r="I15" s="147" t="s">
        <v>565</v>
      </c>
      <c r="J15" s="147">
        <v>4.2</v>
      </c>
      <c r="K15" s="151">
        <v>2.4</v>
      </c>
      <c r="L15" s="151">
        <v>6.3</v>
      </c>
      <c r="M15" s="151">
        <v>1.2</v>
      </c>
      <c r="N15" s="147"/>
      <c r="O15" s="151">
        <v>4</v>
      </c>
      <c r="P15" s="151">
        <v>2</v>
      </c>
      <c r="Q15" s="151">
        <v>2</v>
      </c>
      <c r="R15" s="151">
        <v>1</v>
      </c>
      <c r="S15" s="147">
        <v>69</v>
      </c>
      <c r="T15" s="147">
        <v>77</v>
      </c>
      <c r="U15" s="151">
        <v>7.6</v>
      </c>
      <c r="Y15" s="326"/>
      <c r="Z15" s="321">
        <v>100</v>
      </c>
      <c r="AA15" s="321"/>
      <c r="AB15" s="327">
        <f t="shared" si="0"/>
        <v>316.22000000000003</v>
      </c>
      <c r="AC15" s="327">
        <f t="shared" si="0"/>
        <v>164.11</v>
      </c>
      <c r="AD15" s="327">
        <f t="shared" si="0"/>
        <v>55.9</v>
      </c>
      <c r="AE15" s="327">
        <f t="shared" si="0"/>
        <v>32</v>
      </c>
      <c r="AF15" s="327">
        <f t="shared" si="0"/>
        <v>20.28</v>
      </c>
      <c r="AG15" s="327">
        <f t="shared" si="0"/>
        <v>9.8800000000000008</v>
      </c>
      <c r="AH15" s="327">
        <f t="shared" si="0"/>
        <v>5.65</v>
      </c>
      <c r="AI15" s="327">
        <f t="shared" si="0"/>
        <v>2.93</v>
      </c>
      <c r="AJ15" s="327">
        <f t="shared" si="0"/>
        <v>2.0499999999999998</v>
      </c>
      <c r="AK15" s="327">
        <f t="shared" si="0"/>
        <v>1</v>
      </c>
      <c r="AL15" s="327"/>
    </row>
    <row r="16" spans="2:38" ht="20.100000000000001" customHeight="1" x14ac:dyDescent="0.15">
      <c r="B16" s="147">
        <v>150</v>
      </c>
      <c r="C16" s="147"/>
      <c r="D16" s="147"/>
      <c r="E16" s="147"/>
      <c r="F16" s="151">
        <v>49.5</v>
      </c>
      <c r="G16" s="152">
        <v>1.2</v>
      </c>
      <c r="H16" s="147" t="s">
        <v>566</v>
      </c>
      <c r="I16" s="147" t="s">
        <v>567</v>
      </c>
      <c r="J16" s="151">
        <v>6</v>
      </c>
      <c r="K16" s="151">
        <v>3.6</v>
      </c>
      <c r="L16" s="151">
        <v>9</v>
      </c>
      <c r="M16" s="151">
        <v>1.8</v>
      </c>
      <c r="N16" s="147"/>
      <c r="O16" s="151">
        <v>6</v>
      </c>
      <c r="P16" s="151">
        <v>3</v>
      </c>
      <c r="Q16" s="151">
        <v>3</v>
      </c>
      <c r="R16" s="151">
        <v>1.5</v>
      </c>
      <c r="S16" s="147">
        <v>101</v>
      </c>
      <c r="T16" s="147">
        <v>64</v>
      </c>
      <c r="U16" s="147">
        <v>12</v>
      </c>
      <c r="Y16" s="326"/>
      <c r="Z16" s="321">
        <v>150</v>
      </c>
      <c r="AA16" s="321"/>
      <c r="AB16" s="327">
        <f t="shared" si="0"/>
        <v>871.42</v>
      </c>
      <c r="AC16" s="327">
        <f t="shared" si="0"/>
        <v>452.24</v>
      </c>
      <c r="AD16" s="327">
        <f t="shared" si="0"/>
        <v>154.04</v>
      </c>
      <c r="AE16" s="327">
        <f t="shared" si="0"/>
        <v>88.18</v>
      </c>
      <c r="AF16" s="327">
        <f t="shared" si="0"/>
        <v>55.9</v>
      </c>
      <c r="AG16" s="327">
        <f t="shared" si="0"/>
        <v>27.23</v>
      </c>
      <c r="AH16" s="327">
        <f t="shared" si="0"/>
        <v>15.58</v>
      </c>
      <c r="AI16" s="327">
        <f t="shared" si="0"/>
        <v>8.08</v>
      </c>
      <c r="AJ16" s="327">
        <f t="shared" si="0"/>
        <v>5.65</v>
      </c>
      <c r="AK16" s="327">
        <f t="shared" si="0"/>
        <v>2.75</v>
      </c>
      <c r="AL16" s="327">
        <f t="shared" si="0"/>
        <v>1</v>
      </c>
    </row>
    <row r="17" spans="2:26" ht="20.100000000000001" customHeight="1" x14ac:dyDescent="0.15">
      <c r="B17" s="147">
        <v>200</v>
      </c>
      <c r="C17" s="147"/>
      <c r="D17" s="147"/>
      <c r="E17" s="147"/>
      <c r="F17" s="151">
        <v>70</v>
      </c>
      <c r="G17" s="152">
        <v>1.4</v>
      </c>
      <c r="H17" s="147"/>
      <c r="I17" s="147"/>
      <c r="J17" s="147">
        <v>6.5</v>
      </c>
      <c r="K17" s="151">
        <v>3.7</v>
      </c>
      <c r="L17" s="151">
        <v>14</v>
      </c>
      <c r="M17" s="151">
        <v>4</v>
      </c>
      <c r="N17" s="147"/>
      <c r="O17" s="151">
        <v>8</v>
      </c>
      <c r="P17" s="151">
        <v>4</v>
      </c>
      <c r="Q17" s="151">
        <v>4</v>
      </c>
      <c r="R17" s="151">
        <v>2</v>
      </c>
      <c r="S17" s="147">
        <v>169</v>
      </c>
      <c r="T17" s="147">
        <v>100</v>
      </c>
      <c r="U17" s="147">
        <v>15</v>
      </c>
    </row>
    <row r="18" spans="2:26" ht="20.100000000000001" customHeight="1" x14ac:dyDescent="0.15">
      <c r="B18" s="147">
        <v>250</v>
      </c>
      <c r="C18" s="147"/>
      <c r="D18" s="147"/>
      <c r="E18" s="147"/>
      <c r="F18" s="151">
        <v>90</v>
      </c>
      <c r="G18" s="152">
        <v>1.7</v>
      </c>
      <c r="H18" s="147"/>
      <c r="I18" s="147"/>
      <c r="J18" s="151">
        <v>8</v>
      </c>
      <c r="K18" s="151">
        <v>4.2</v>
      </c>
      <c r="L18" s="151">
        <v>20</v>
      </c>
      <c r="M18" s="151">
        <v>5</v>
      </c>
      <c r="N18" s="147"/>
      <c r="O18" s="151">
        <v>12</v>
      </c>
      <c r="P18" s="151">
        <v>6</v>
      </c>
      <c r="Q18" s="151">
        <v>6</v>
      </c>
      <c r="R18" s="151">
        <v>3</v>
      </c>
      <c r="S18" s="147"/>
      <c r="T18" s="147"/>
      <c r="U18" s="147">
        <v>19</v>
      </c>
      <c r="Z18" s="319" t="s">
        <v>630</v>
      </c>
    </row>
    <row r="19" spans="2:26" x14ac:dyDescent="0.15">
      <c r="Z19" s="319" t="s">
        <v>631</v>
      </c>
    </row>
    <row r="20" spans="2:26" ht="25.5" customHeight="1" x14ac:dyDescent="0.15">
      <c r="B20" s="146" t="s">
        <v>53</v>
      </c>
      <c r="C20" s="432" t="s">
        <v>54</v>
      </c>
      <c r="D20" s="432"/>
      <c r="E20" s="433" t="s">
        <v>70</v>
      </c>
      <c r="F20" s="434" t="s">
        <v>55</v>
      </c>
      <c r="G20" s="435" t="s">
        <v>71</v>
      </c>
      <c r="H20" s="435" t="s">
        <v>568</v>
      </c>
      <c r="I20" s="436" t="s">
        <v>552</v>
      </c>
      <c r="J20" s="436"/>
      <c r="K20" s="147" t="s">
        <v>553</v>
      </c>
      <c r="L20" s="147" t="s">
        <v>554</v>
      </c>
      <c r="M20" s="437" t="s">
        <v>56</v>
      </c>
      <c r="N20" s="437" t="s">
        <v>57</v>
      </c>
      <c r="O20" s="431" t="s">
        <v>58</v>
      </c>
      <c r="P20" s="438" t="s">
        <v>59</v>
      </c>
      <c r="Q20" s="436"/>
      <c r="R20" s="438" t="s">
        <v>60</v>
      </c>
      <c r="S20" s="436"/>
      <c r="T20" s="438" t="s">
        <v>555</v>
      </c>
      <c r="U20" s="436"/>
      <c r="V20" s="428" t="s">
        <v>72</v>
      </c>
      <c r="W20" s="431" t="s">
        <v>61</v>
      </c>
      <c r="Z20" s="319" t="s">
        <v>632</v>
      </c>
    </row>
    <row r="21" spans="2:26" ht="25.5" customHeight="1" x14ac:dyDescent="0.15">
      <c r="B21" s="148"/>
      <c r="C21" s="432"/>
      <c r="D21" s="432"/>
      <c r="E21" s="429"/>
      <c r="F21" s="434"/>
      <c r="G21" s="431"/>
      <c r="H21" s="431"/>
      <c r="I21" s="435" t="s">
        <v>62</v>
      </c>
      <c r="J21" s="435" t="s">
        <v>63</v>
      </c>
      <c r="K21" s="437" t="s">
        <v>556</v>
      </c>
      <c r="L21" s="437" t="s">
        <v>556</v>
      </c>
      <c r="M21" s="437"/>
      <c r="N21" s="437"/>
      <c r="O21" s="431"/>
      <c r="P21" s="436"/>
      <c r="Q21" s="436"/>
      <c r="R21" s="436"/>
      <c r="S21" s="436"/>
      <c r="T21" s="436"/>
      <c r="U21" s="436"/>
      <c r="V21" s="429"/>
      <c r="W21" s="431"/>
      <c r="Z21" s="319" t="s">
        <v>633</v>
      </c>
    </row>
    <row r="22" spans="2:26" ht="18.75" customHeight="1" x14ac:dyDescent="0.15">
      <c r="B22" s="148"/>
      <c r="C22" s="432"/>
      <c r="D22" s="432"/>
      <c r="E22" s="429"/>
      <c r="F22" s="434"/>
      <c r="G22" s="431"/>
      <c r="H22" s="431"/>
      <c r="I22" s="431"/>
      <c r="J22" s="431"/>
      <c r="K22" s="437"/>
      <c r="L22" s="437"/>
      <c r="M22" s="437"/>
      <c r="N22" s="437"/>
      <c r="O22" s="431"/>
      <c r="P22" s="153" t="s">
        <v>553</v>
      </c>
      <c r="Q22" s="153" t="s">
        <v>554</v>
      </c>
      <c r="R22" s="153" t="s">
        <v>553</v>
      </c>
      <c r="S22" s="153" t="s">
        <v>554</v>
      </c>
      <c r="T22" s="431" t="s">
        <v>64</v>
      </c>
      <c r="U22" s="431" t="s">
        <v>65</v>
      </c>
      <c r="V22" s="429"/>
      <c r="W22" s="431"/>
    </row>
    <row r="23" spans="2:26" ht="30" customHeight="1" x14ac:dyDescent="0.15">
      <c r="B23" s="149" t="s">
        <v>66</v>
      </c>
      <c r="C23" s="147" t="s">
        <v>67</v>
      </c>
      <c r="D23" s="147" t="s">
        <v>68</v>
      </c>
      <c r="E23" s="430"/>
      <c r="F23" s="434"/>
      <c r="G23" s="431"/>
      <c r="H23" s="431"/>
      <c r="I23" s="431"/>
      <c r="J23" s="431"/>
      <c r="K23" s="437"/>
      <c r="L23" s="437"/>
      <c r="M23" s="437"/>
      <c r="N23" s="437"/>
      <c r="O23" s="431"/>
      <c r="P23" s="154" t="s">
        <v>69</v>
      </c>
      <c r="Q23" s="154" t="s">
        <v>69</v>
      </c>
      <c r="R23" s="154" t="s">
        <v>69</v>
      </c>
      <c r="S23" s="154" t="s">
        <v>69</v>
      </c>
      <c r="T23" s="431"/>
      <c r="U23" s="431"/>
      <c r="V23" s="430"/>
      <c r="W23" s="431"/>
    </row>
    <row r="24" spans="2:26" ht="19.5" customHeight="1" x14ac:dyDescent="0.15">
      <c r="B24" s="147">
        <v>15</v>
      </c>
      <c r="C24" s="151">
        <v>3.9</v>
      </c>
      <c r="D24" s="151">
        <v>1.5</v>
      </c>
      <c r="E24" s="155">
        <v>2.8</v>
      </c>
      <c r="F24" s="151">
        <v>1.5</v>
      </c>
      <c r="G24" s="151">
        <v>4.5</v>
      </c>
      <c r="H24" s="152">
        <v>0.12</v>
      </c>
      <c r="I24" s="147">
        <v>3</v>
      </c>
      <c r="J24" s="147"/>
      <c r="K24" s="147">
        <v>0.6</v>
      </c>
      <c r="L24" s="152">
        <v>0.36</v>
      </c>
      <c r="M24" s="151">
        <v>0.9</v>
      </c>
      <c r="N24" s="152">
        <v>0.18</v>
      </c>
      <c r="O24" s="147">
        <v>3.9</v>
      </c>
      <c r="P24" s="147"/>
      <c r="Q24" s="147"/>
      <c r="R24" s="147"/>
      <c r="S24" s="147"/>
      <c r="T24" s="147">
        <v>29</v>
      </c>
      <c r="U24" s="147"/>
      <c r="V24" s="151">
        <v>2.4</v>
      </c>
      <c r="W24" s="156">
        <v>1.2</v>
      </c>
    </row>
    <row r="25" spans="2:26" ht="19.5" customHeight="1" x14ac:dyDescent="0.15">
      <c r="B25" s="147">
        <v>20</v>
      </c>
      <c r="C25" s="151">
        <v>8.5</v>
      </c>
      <c r="D25" s="151">
        <v>2</v>
      </c>
      <c r="E25" s="155">
        <v>3</v>
      </c>
      <c r="F25" s="151">
        <v>2</v>
      </c>
      <c r="G25" s="151">
        <v>6</v>
      </c>
      <c r="H25" s="152">
        <v>0.15</v>
      </c>
      <c r="I25" s="147">
        <v>6.5</v>
      </c>
      <c r="J25" s="147"/>
      <c r="K25" s="152">
        <v>0.75</v>
      </c>
      <c r="L25" s="152">
        <v>0.45</v>
      </c>
      <c r="M25" s="151">
        <v>1.2</v>
      </c>
      <c r="N25" s="152">
        <v>0.24</v>
      </c>
      <c r="O25" s="147">
        <v>8.5</v>
      </c>
      <c r="P25" s="147"/>
      <c r="Q25" s="147"/>
      <c r="R25" s="147"/>
      <c r="S25" s="147"/>
      <c r="T25" s="147">
        <v>26</v>
      </c>
      <c r="U25" s="147"/>
      <c r="V25" s="151">
        <v>3.6</v>
      </c>
      <c r="W25" s="156">
        <v>1.6</v>
      </c>
    </row>
    <row r="26" spans="2:26" ht="19.5" customHeight="1" x14ac:dyDescent="0.15">
      <c r="B26" s="147">
        <v>25</v>
      </c>
      <c r="C26" s="151">
        <v>10.5</v>
      </c>
      <c r="D26" s="151">
        <v>3</v>
      </c>
      <c r="E26" s="155">
        <v>3.5</v>
      </c>
      <c r="F26" s="151">
        <v>3</v>
      </c>
      <c r="G26" s="151">
        <v>7.5</v>
      </c>
      <c r="H26" s="152">
        <v>0.18</v>
      </c>
      <c r="I26" s="147">
        <v>14</v>
      </c>
      <c r="J26" s="147"/>
      <c r="K26" s="147">
        <v>0.9</v>
      </c>
      <c r="L26" s="152">
        <v>0.54</v>
      </c>
      <c r="M26" s="151">
        <v>1.5</v>
      </c>
      <c r="N26" s="152">
        <v>0.27</v>
      </c>
      <c r="O26" s="151">
        <v>10.5</v>
      </c>
      <c r="P26" s="147"/>
      <c r="Q26" s="147"/>
      <c r="R26" s="147"/>
      <c r="S26" s="147"/>
      <c r="T26" s="147">
        <v>31</v>
      </c>
      <c r="U26" s="147">
        <v>15</v>
      </c>
      <c r="V26" s="151">
        <v>4.5</v>
      </c>
      <c r="W26" s="156">
        <v>2</v>
      </c>
    </row>
    <row r="27" spans="2:26" ht="19.5" customHeight="1" x14ac:dyDescent="0.15">
      <c r="B27" s="147">
        <v>30</v>
      </c>
      <c r="C27" s="147" t="s">
        <v>557</v>
      </c>
      <c r="D27" s="147"/>
      <c r="E27" s="157"/>
      <c r="F27" s="147"/>
      <c r="G27" s="151">
        <v>10.5</v>
      </c>
      <c r="H27" s="152">
        <v>0.24</v>
      </c>
      <c r="I27" s="147">
        <v>17</v>
      </c>
      <c r="J27" s="147"/>
      <c r="K27" s="147">
        <v>1.2</v>
      </c>
      <c r="L27" s="152">
        <v>0.72</v>
      </c>
      <c r="M27" s="151">
        <v>1.8</v>
      </c>
      <c r="N27" s="152">
        <v>0.36</v>
      </c>
      <c r="O27" s="147"/>
      <c r="P27" s="147"/>
      <c r="Q27" s="147"/>
      <c r="R27" s="147"/>
      <c r="S27" s="147"/>
      <c r="T27" s="147"/>
      <c r="U27" s="147">
        <v>18</v>
      </c>
      <c r="V27" s="151">
        <v>5.4</v>
      </c>
      <c r="W27" s="156">
        <v>2.5</v>
      </c>
    </row>
    <row r="28" spans="2:26" ht="19.5" customHeight="1" x14ac:dyDescent="0.15">
      <c r="B28" s="147">
        <v>40</v>
      </c>
      <c r="C28" s="147" t="s">
        <v>558</v>
      </c>
      <c r="D28" s="147"/>
      <c r="E28" s="157"/>
      <c r="F28" s="147"/>
      <c r="G28" s="151">
        <v>13.5</v>
      </c>
      <c r="H28" s="152">
        <v>0.3</v>
      </c>
      <c r="I28" s="147">
        <v>23</v>
      </c>
      <c r="J28" s="147"/>
      <c r="K28" s="147">
        <v>1.5</v>
      </c>
      <c r="L28" s="151">
        <v>0.9</v>
      </c>
      <c r="M28" s="151">
        <v>2.1</v>
      </c>
      <c r="N28" s="152">
        <v>0.45</v>
      </c>
      <c r="O28" s="147"/>
      <c r="P28" s="151">
        <v>1</v>
      </c>
      <c r="Q28" s="147"/>
      <c r="R28" s="147"/>
      <c r="S28" s="147"/>
      <c r="T28" s="147">
        <v>20</v>
      </c>
      <c r="U28" s="147">
        <v>34</v>
      </c>
      <c r="V28" s="151">
        <v>6.6</v>
      </c>
      <c r="W28" s="156">
        <v>3.1</v>
      </c>
    </row>
    <row r="29" spans="2:26" ht="19.5" customHeight="1" x14ac:dyDescent="0.15">
      <c r="B29" s="147">
        <v>50</v>
      </c>
      <c r="C29" s="147" t="s">
        <v>560</v>
      </c>
      <c r="D29" s="147"/>
      <c r="E29" s="157"/>
      <c r="F29" s="147"/>
      <c r="G29" s="151">
        <v>16.5</v>
      </c>
      <c r="H29" s="152">
        <v>0.39</v>
      </c>
      <c r="I29" s="147">
        <v>27</v>
      </c>
      <c r="J29" s="147">
        <v>23</v>
      </c>
      <c r="K29" s="147">
        <v>2.1</v>
      </c>
      <c r="L29" s="151">
        <v>1.2</v>
      </c>
      <c r="M29" s="151">
        <v>3</v>
      </c>
      <c r="N29" s="152">
        <v>0.6</v>
      </c>
      <c r="O29" s="147"/>
      <c r="P29" s="151">
        <v>1.5</v>
      </c>
      <c r="Q29" s="147"/>
      <c r="R29" s="147"/>
      <c r="S29" s="147"/>
      <c r="T29" s="147">
        <v>18</v>
      </c>
      <c r="U29" s="147">
        <v>34</v>
      </c>
      <c r="V29" s="151">
        <v>8.4</v>
      </c>
      <c r="W29" s="156">
        <v>4</v>
      </c>
    </row>
    <row r="30" spans="2:26" ht="19.5" customHeight="1" x14ac:dyDescent="0.15">
      <c r="B30" s="147">
        <v>65</v>
      </c>
      <c r="C30" s="147"/>
      <c r="D30" s="147"/>
      <c r="E30" s="157"/>
      <c r="F30" s="147"/>
      <c r="G30" s="151">
        <v>19.5</v>
      </c>
      <c r="H30" s="152">
        <v>0.48</v>
      </c>
      <c r="I30" s="147">
        <v>35</v>
      </c>
      <c r="J30" s="147"/>
      <c r="K30" s="147">
        <v>2.4</v>
      </c>
      <c r="L30" s="151">
        <v>1.5</v>
      </c>
      <c r="M30" s="151">
        <v>3.6</v>
      </c>
      <c r="N30" s="152">
        <v>0.75</v>
      </c>
      <c r="O30" s="147"/>
      <c r="P30" s="151">
        <v>2.2000000000000002</v>
      </c>
      <c r="Q30" s="147"/>
      <c r="R30" s="147"/>
      <c r="S30" s="147"/>
      <c r="T30" s="147"/>
      <c r="U30" s="147">
        <v>47</v>
      </c>
      <c r="V30" s="151">
        <v>10.199999999999999</v>
      </c>
      <c r="W30" s="156">
        <v>4.5999999999999996</v>
      </c>
    </row>
    <row r="31" spans="2:26" ht="19.5" customHeight="1" x14ac:dyDescent="0.15">
      <c r="B31" s="147">
        <v>75</v>
      </c>
      <c r="C31" s="147"/>
      <c r="D31" s="147"/>
      <c r="E31" s="157"/>
      <c r="F31" s="147"/>
      <c r="G31" s="151">
        <v>24</v>
      </c>
      <c r="H31" s="152">
        <v>0.63</v>
      </c>
      <c r="I31" s="147" t="s">
        <v>563</v>
      </c>
      <c r="J31" s="147">
        <v>28</v>
      </c>
      <c r="K31" s="158">
        <v>3</v>
      </c>
      <c r="L31" s="151">
        <v>1.8</v>
      </c>
      <c r="M31" s="151">
        <v>4.5</v>
      </c>
      <c r="N31" s="152">
        <v>0.9</v>
      </c>
      <c r="O31" s="147"/>
      <c r="P31" s="151">
        <v>3</v>
      </c>
      <c r="Q31" s="151">
        <v>1.5</v>
      </c>
      <c r="R31" s="151">
        <v>1.5</v>
      </c>
      <c r="S31" s="147"/>
      <c r="T31" s="147">
        <v>42</v>
      </c>
      <c r="U31" s="147">
        <v>60</v>
      </c>
      <c r="V31" s="151">
        <v>12</v>
      </c>
      <c r="W31" s="156">
        <v>5.7</v>
      </c>
    </row>
    <row r="32" spans="2:26" ht="19.5" customHeight="1" x14ac:dyDescent="0.15">
      <c r="B32" s="147">
        <v>100</v>
      </c>
      <c r="C32" s="147"/>
      <c r="D32" s="147"/>
      <c r="E32" s="157"/>
      <c r="F32" s="147"/>
      <c r="G32" s="151">
        <v>37.5</v>
      </c>
      <c r="H32" s="152">
        <v>0.81</v>
      </c>
      <c r="I32" s="147" t="s">
        <v>564</v>
      </c>
      <c r="J32" s="147">
        <v>56</v>
      </c>
      <c r="K32" s="147">
        <v>4.2</v>
      </c>
      <c r="L32" s="151">
        <v>2.4</v>
      </c>
      <c r="M32" s="151">
        <v>6.3</v>
      </c>
      <c r="N32" s="151">
        <v>1.2</v>
      </c>
      <c r="O32" s="147"/>
      <c r="P32" s="151">
        <v>4</v>
      </c>
      <c r="Q32" s="151">
        <v>2</v>
      </c>
      <c r="R32" s="151">
        <v>2</v>
      </c>
      <c r="S32" s="151">
        <v>1</v>
      </c>
      <c r="T32" s="147">
        <v>69</v>
      </c>
      <c r="U32" s="147">
        <v>110</v>
      </c>
      <c r="V32" s="151">
        <v>16.5</v>
      </c>
      <c r="W32" s="156">
        <v>7.6</v>
      </c>
    </row>
    <row r="33" spans="2:23" ht="19.5" customHeight="1" x14ac:dyDescent="0.15">
      <c r="B33" s="147">
        <v>125</v>
      </c>
      <c r="C33" s="147"/>
      <c r="D33" s="147"/>
      <c r="E33" s="157"/>
      <c r="F33" s="147"/>
      <c r="G33" s="151">
        <v>42</v>
      </c>
      <c r="H33" s="152">
        <v>0.99</v>
      </c>
      <c r="I33" s="147"/>
      <c r="J33" s="147"/>
      <c r="K33" s="147">
        <v>5.0999999999999996</v>
      </c>
      <c r="L33" s="151">
        <v>3</v>
      </c>
      <c r="M33" s="151">
        <v>7.5</v>
      </c>
      <c r="N33" s="151">
        <v>1.5</v>
      </c>
      <c r="O33" s="147"/>
      <c r="P33" s="151">
        <v>5</v>
      </c>
      <c r="Q33" s="151">
        <v>2.6</v>
      </c>
      <c r="R33" s="151">
        <v>2.5</v>
      </c>
      <c r="S33" s="151">
        <v>1.3</v>
      </c>
      <c r="T33" s="147"/>
      <c r="U33" s="147">
        <v>115</v>
      </c>
      <c r="V33" s="151">
        <v>21</v>
      </c>
      <c r="W33" s="156">
        <v>10</v>
      </c>
    </row>
    <row r="34" spans="2:23" ht="19.5" customHeight="1" x14ac:dyDescent="0.15">
      <c r="B34" s="147">
        <v>150</v>
      </c>
      <c r="C34" s="147"/>
      <c r="D34" s="147"/>
      <c r="E34" s="157"/>
      <c r="F34" s="147"/>
      <c r="G34" s="151">
        <v>49.5</v>
      </c>
      <c r="H34" s="152">
        <v>1.2</v>
      </c>
      <c r="I34" s="147" t="s">
        <v>566</v>
      </c>
      <c r="J34" s="147">
        <v>56</v>
      </c>
      <c r="K34" s="158">
        <v>6</v>
      </c>
      <c r="L34" s="151">
        <v>3.6</v>
      </c>
      <c r="M34" s="151">
        <v>9</v>
      </c>
      <c r="N34" s="151">
        <v>1.8</v>
      </c>
      <c r="O34" s="147"/>
      <c r="P34" s="151">
        <v>6</v>
      </c>
      <c r="Q34" s="151">
        <v>3</v>
      </c>
      <c r="R34" s="151">
        <v>3</v>
      </c>
      <c r="S34" s="151">
        <v>1.5</v>
      </c>
      <c r="T34" s="147">
        <v>101</v>
      </c>
      <c r="U34" s="147">
        <v>145</v>
      </c>
      <c r="V34" s="151">
        <v>24</v>
      </c>
      <c r="W34" s="156">
        <v>12</v>
      </c>
    </row>
    <row r="35" spans="2:23" ht="19.5" customHeight="1" x14ac:dyDescent="0.15">
      <c r="B35" s="147">
        <v>200</v>
      </c>
      <c r="C35" s="147"/>
      <c r="D35" s="147"/>
      <c r="E35" s="157"/>
      <c r="F35" s="147"/>
      <c r="G35" s="151">
        <v>70</v>
      </c>
      <c r="H35" s="152">
        <v>1.4</v>
      </c>
      <c r="I35" s="147"/>
      <c r="J35" s="147">
        <v>105</v>
      </c>
      <c r="K35" s="147">
        <v>6.5</v>
      </c>
      <c r="L35" s="151">
        <v>3.7</v>
      </c>
      <c r="M35" s="151">
        <v>14</v>
      </c>
      <c r="N35" s="151">
        <v>4</v>
      </c>
      <c r="O35" s="147"/>
      <c r="P35" s="151">
        <v>8</v>
      </c>
      <c r="Q35" s="151">
        <v>4</v>
      </c>
      <c r="R35" s="151">
        <v>4</v>
      </c>
      <c r="S35" s="151">
        <v>2</v>
      </c>
      <c r="T35" s="147">
        <v>169</v>
      </c>
      <c r="U35" s="147">
        <v>460</v>
      </c>
      <c r="V35" s="147"/>
      <c r="W35" s="156">
        <v>15</v>
      </c>
    </row>
    <row r="36" spans="2:23" ht="19.5" customHeight="1" x14ac:dyDescent="0.15">
      <c r="B36" s="147">
        <v>250</v>
      </c>
      <c r="C36" s="147"/>
      <c r="D36" s="147"/>
      <c r="E36" s="157"/>
      <c r="F36" s="147"/>
      <c r="G36" s="151">
        <v>90</v>
      </c>
      <c r="H36" s="152">
        <v>1.7</v>
      </c>
      <c r="I36" s="147"/>
      <c r="J36" s="147">
        <v>280</v>
      </c>
      <c r="K36" s="158">
        <v>8</v>
      </c>
      <c r="L36" s="151">
        <v>4.2</v>
      </c>
      <c r="M36" s="151">
        <v>20</v>
      </c>
      <c r="N36" s="151">
        <v>5</v>
      </c>
      <c r="O36" s="147"/>
      <c r="P36" s="151">
        <v>12</v>
      </c>
      <c r="Q36" s="151">
        <v>6</v>
      </c>
      <c r="R36" s="151">
        <v>6</v>
      </c>
      <c r="S36" s="151">
        <v>3</v>
      </c>
      <c r="T36" s="147"/>
      <c r="U36" s="147"/>
      <c r="V36" s="147"/>
      <c r="W36" s="156">
        <v>19</v>
      </c>
    </row>
    <row r="37" spans="2:23" ht="19.5" customHeight="1" x14ac:dyDescent="0.15"/>
    <row r="38" spans="2:23" ht="19.5" customHeight="1" x14ac:dyDescent="0.15">
      <c r="B38" s="145" t="s">
        <v>73</v>
      </c>
    </row>
    <row r="39" spans="2:23" ht="19.5" customHeight="1" x14ac:dyDescent="0.15">
      <c r="B39" s="145" t="s">
        <v>74</v>
      </c>
    </row>
  </sheetData>
  <sheetProtection password="CC1F" sheet="1" objects="1" scenarios="1"/>
  <mergeCells count="41">
    <mergeCell ref="AB4:AL4"/>
    <mergeCell ref="S4:T5"/>
    <mergeCell ref="U4:U7"/>
    <mergeCell ref="H5:H7"/>
    <mergeCell ref="I5:I7"/>
    <mergeCell ref="J5:J7"/>
    <mergeCell ref="K5:K7"/>
    <mergeCell ref="S6:S7"/>
    <mergeCell ref="T6:T7"/>
    <mergeCell ref="J21:J23"/>
    <mergeCell ref="K21:K23"/>
    <mergeCell ref="L21:L23"/>
    <mergeCell ref="T22:T23"/>
    <mergeCell ref="B2:R2"/>
    <mergeCell ref="S2:U2"/>
    <mergeCell ref="C4:D6"/>
    <mergeCell ref="E4:E7"/>
    <mergeCell ref="F4:F7"/>
    <mergeCell ref="G4:G7"/>
    <mergeCell ref="H4:I4"/>
    <mergeCell ref="L4:L7"/>
    <mergeCell ref="M4:M7"/>
    <mergeCell ref="N4:N7"/>
    <mergeCell ref="O4:P5"/>
    <mergeCell ref="Q4:R5"/>
    <mergeCell ref="V20:V23"/>
    <mergeCell ref="W20:W23"/>
    <mergeCell ref="C20:D22"/>
    <mergeCell ref="E20:E23"/>
    <mergeCell ref="F20:F23"/>
    <mergeCell ref="G20:G23"/>
    <mergeCell ref="H20:H23"/>
    <mergeCell ref="I20:J20"/>
    <mergeCell ref="M20:M23"/>
    <mergeCell ref="N20:N23"/>
    <mergeCell ref="U22:U23"/>
    <mergeCell ref="O20:O23"/>
    <mergeCell ref="P20:Q21"/>
    <mergeCell ref="R20:S21"/>
    <mergeCell ref="T20:U21"/>
    <mergeCell ref="I21:I23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14</vt:i4>
      </vt:variant>
    </vt:vector>
  </HeadingPairs>
  <TitlesOfParts>
    <vt:vector size="21" baseType="lpstr">
      <vt:lpstr>入力例</vt:lpstr>
      <vt:lpstr>水理計算書</vt:lpstr>
      <vt:lpstr>水理計算書 (受水槽)</vt:lpstr>
      <vt:lpstr>リスト</vt:lpstr>
      <vt:lpstr>参考（利府町）</vt:lpstr>
      <vt:lpstr>参考（計算式）</vt:lpstr>
      <vt:lpstr>参考（×）</vt:lpstr>
      <vt:lpstr>水理計算書!Print_Area</vt:lpstr>
      <vt:lpstr>'水理計算書 (受水槽)'!Print_Area</vt:lpstr>
      <vt:lpstr>入力例!Print_Area</vt:lpstr>
      <vt:lpstr>管延長</vt:lpstr>
      <vt:lpstr>管延長2</vt:lpstr>
      <vt:lpstr>'水理計算書 (受水槽)'!器具等コード</vt:lpstr>
      <vt:lpstr>入力例!器具等コード</vt:lpstr>
      <vt:lpstr>器具等コード</vt:lpstr>
      <vt:lpstr>口径</vt:lpstr>
      <vt:lpstr>使用水量</vt:lpstr>
      <vt:lpstr>所要水頭</vt:lpstr>
      <vt:lpstr>同時開栓数</vt:lpstr>
      <vt:lpstr>分岐</vt:lpstr>
      <vt:lpstr>流速計数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SUIDO</cp:lastModifiedBy>
  <cp:lastPrinted>2017-12-01T05:47:54Z</cp:lastPrinted>
  <dcterms:created xsi:type="dcterms:W3CDTF">1999-06-09T00:42:02Z</dcterms:created>
  <dcterms:modified xsi:type="dcterms:W3CDTF">2021-01-29T06:53:51Z</dcterms:modified>
</cp:coreProperties>
</file>